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chraner\Documents\Excel\"/>
    </mc:Choice>
  </mc:AlternateContent>
  <xr:revisionPtr revIDLastSave="0" documentId="13_ncr:1_{D58200FA-5282-4837-8804-00B8099B0626}" xr6:coauthVersionLast="40" xr6:coauthVersionMax="40" xr10:uidLastSave="{00000000-0000-0000-0000-000000000000}"/>
  <bookViews>
    <workbookView xWindow="120" yWindow="45" windowWidth="23715" windowHeight="10035" activeTab="5" xr2:uid="{00000000-000D-0000-FFFF-FFFF00000000}"/>
  </bookViews>
  <sheets>
    <sheet name="31235 x 2" sheetId="6" r:id="rId1"/>
    <sheet name="37573T" sheetId="7" r:id="rId2"/>
    <sheet name="37336" sheetId="9" r:id="rId3"/>
    <sheet name="37667" sheetId="10" r:id="rId4"/>
    <sheet name="Jim Lux calc" sheetId="5" r:id="rId5"/>
    <sheet name="Jim Lux HV book" sheetId="1" r:id="rId6"/>
    <sheet name="Graphs" sheetId="8" r:id="rId7"/>
  </sheets>
  <definedNames>
    <definedName name="solver_adj" localSheetId="6" hidden="1">Graphs!$AB$29</definedName>
    <definedName name="solver_cvg" localSheetId="6" hidden="1">0.0001</definedName>
    <definedName name="solver_drv" localSheetId="6" hidden="1">1</definedName>
    <definedName name="solver_eng" localSheetId="6" hidden="1">1</definedName>
    <definedName name="solver_est" localSheetId="6" hidden="1">1</definedName>
    <definedName name="solver_itr" localSheetId="6" hidden="1">2147483647</definedName>
    <definedName name="solver_lhs1" localSheetId="6" hidden="1">Graphs!$AB$29</definedName>
    <definedName name="solver_lhs2" localSheetId="6" hidden="1">Graphs!$AB$29</definedName>
    <definedName name="solver_lhs3" localSheetId="6" hidden="1">Graphs!$AB$29</definedName>
    <definedName name="solver_lhs4" localSheetId="6" hidden="1">Graphs!$AB$29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6" hidden="1">1</definedName>
    <definedName name="solver_nod" localSheetId="6" hidden="1">2147483647</definedName>
    <definedName name="solver_num" localSheetId="6" hidden="1">2</definedName>
    <definedName name="solver_nwt" localSheetId="6" hidden="1">1</definedName>
    <definedName name="solver_opt" localSheetId="6" hidden="1">Graphs!$AF$29</definedName>
    <definedName name="solver_pre" localSheetId="6" hidden="1">0.000001</definedName>
    <definedName name="solver_rbv" localSheetId="6" hidden="1">1</definedName>
    <definedName name="solver_rel1" localSheetId="6" hidden="1">1</definedName>
    <definedName name="solver_rel2" localSheetId="6" hidden="1">3</definedName>
    <definedName name="solver_rel3" localSheetId="6" hidden="1">3</definedName>
    <definedName name="solver_rel4" localSheetId="6" hidden="1">3</definedName>
    <definedName name="solver_rhs1" localSheetId="6" hidden="1">3</definedName>
    <definedName name="solver_rhs2" localSheetId="6" hidden="1">1.6</definedName>
    <definedName name="solver_rhs3" localSheetId="6" hidden="1">1.6</definedName>
    <definedName name="solver_rhs4" localSheetId="6" hidden="1">1.6</definedName>
    <definedName name="solver_rlx" localSheetId="6" hidden="1">2</definedName>
    <definedName name="solver_rsd" localSheetId="6" hidden="1">0</definedName>
    <definedName name="solver_scl" localSheetId="6" hidden="1">1</definedName>
    <definedName name="solver_sho" localSheetId="6" hidden="1">2</definedName>
    <definedName name="solver_ssz" localSheetId="6" hidden="1">100</definedName>
    <definedName name="solver_tim" localSheetId="6" hidden="1">2147483647</definedName>
    <definedName name="solver_tol" localSheetId="6" hidden="1">0.01</definedName>
    <definedName name="solver_typ" localSheetId="6" hidden="1">2</definedName>
    <definedName name="solver_val" localSheetId="6" hidden="1">0</definedName>
    <definedName name="solver_ver" localSheetId="6" hidden="1">3</definedName>
  </definedNames>
  <calcPr calcId="181029"/>
</workbook>
</file>

<file path=xl/calcChain.xml><?xml version="1.0" encoding="utf-8"?>
<calcChain xmlns="http://schemas.openxmlformats.org/spreadsheetml/2006/main">
  <c r="O32" i="8" l="1"/>
  <c r="O33" i="8"/>
  <c r="O34" i="8"/>
  <c r="O35" i="8"/>
  <c r="C32" i="10" l="1"/>
  <c r="L35" i="5" l="1"/>
  <c r="J35" i="5"/>
  <c r="L35" i="10"/>
  <c r="J35" i="10"/>
  <c r="L35" i="9"/>
  <c r="J35" i="9"/>
  <c r="L35" i="7"/>
  <c r="J35" i="7"/>
  <c r="F26" i="5"/>
  <c r="E26" i="5"/>
  <c r="F26" i="10"/>
  <c r="E26" i="10"/>
  <c r="F26" i="9"/>
  <c r="E26" i="9"/>
  <c r="F26" i="7"/>
  <c r="E26" i="7"/>
  <c r="A7" i="5"/>
  <c r="A7" i="10"/>
  <c r="A7" i="9"/>
  <c r="A7" i="7"/>
  <c r="J35" i="6"/>
  <c r="L35" i="6"/>
  <c r="E26" i="6"/>
  <c r="F26" i="6"/>
  <c r="A7" i="6"/>
  <c r="AB32" i="8"/>
  <c r="X32" i="8"/>
  <c r="T32" i="8"/>
  <c r="J32" i="8"/>
  <c r="AB6" i="8"/>
  <c r="Y6" i="8"/>
  <c r="V6" i="8"/>
  <c r="K6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23" i="8"/>
  <c r="K24" i="8"/>
  <c r="K25" i="8"/>
  <c r="K26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23" i="8"/>
  <c r="Y24" i="8"/>
  <c r="Y25" i="8"/>
  <c r="Y26" i="8"/>
  <c r="V26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AB26" i="8"/>
  <c r="AC29" i="8" l="1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X48" i="8"/>
  <c r="X49" i="8"/>
  <c r="X50" i="8"/>
  <c r="X51" i="8"/>
  <c r="X52" i="8"/>
  <c r="X53" i="8"/>
  <c r="X54" i="8"/>
  <c r="X55" i="8"/>
  <c r="X56" i="8"/>
  <c r="X57" i="8"/>
  <c r="X58" i="8"/>
  <c r="X59" i="8"/>
  <c r="X47" i="8"/>
  <c r="Z29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W29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AB15" i="8" l="1"/>
  <c r="AE15" i="8" s="1"/>
  <c r="AF15" i="8" s="1"/>
  <c r="AB13" i="8"/>
  <c r="AE13" i="8" s="1"/>
  <c r="AF13" i="8" s="1"/>
  <c r="AB10" i="8"/>
  <c r="AE10" i="8" s="1"/>
  <c r="AF10" i="8" s="1"/>
  <c r="AB11" i="8"/>
  <c r="AE11" i="8" s="1"/>
  <c r="AF11" i="8" s="1"/>
  <c r="AB18" i="8"/>
  <c r="AE18" i="8" s="1"/>
  <c r="AF18" i="8" s="1"/>
  <c r="AB14" i="8"/>
  <c r="AE14" i="8" s="1"/>
  <c r="AF14" i="8" s="1"/>
  <c r="AB21" i="8"/>
  <c r="AE21" i="8" s="1"/>
  <c r="AF21" i="8" s="1"/>
  <c r="AB12" i="8"/>
  <c r="AE12" i="8" s="1"/>
  <c r="AF12" i="8" s="1"/>
  <c r="AB19" i="8"/>
  <c r="AE19" i="8" s="1"/>
  <c r="AF19" i="8" s="1"/>
  <c r="AB25" i="8"/>
  <c r="AB17" i="8"/>
  <c r="AE17" i="8" s="1"/>
  <c r="AF17" i="8" s="1"/>
  <c r="AB22" i="8"/>
  <c r="AE22" i="8" s="1"/>
  <c r="AF22" i="8" s="1"/>
  <c r="AB9" i="8"/>
  <c r="AB20" i="8"/>
  <c r="AE20" i="8" s="1"/>
  <c r="AF20" i="8" s="1"/>
  <c r="AB24" i="8"/>
  <c r="AB16" i="8"/>
  <c r="AE16" i="8" s="1"/>
  <c r="AF16" i="8" s="1"/>
  <c r="AB23" i="8"/>
  <c r="C36" i="10"/>
  <c r="I35" i="10"/>
  <c r="C34" i="10"/>
  <c r="I33" i="10"/>
  <c r="G33" i="10"/>
  <c r="E30" i="10"/>
  <c r="I28" i="10"/>
  <c r="G28" i="10"/>
  <c r="J24" i="10"/>
  <c r="G35" i="10" s="1"/>
  <c r="P22" i="10"/>
  <c r="N22" i="10"/>
  <c r="K28" i="10" l="1"/>
  <c r="AF29" i="8"/>
  <c r="L30" i="10"/>
  <c r="K33" i="10"/>
  <c r="AD29" i="8"/>
  <c r="C36" i="9"/>
  <c r="I35" i="9"/>
  <c r="C34" i="9"/>
  <c r="I33" i="9"/>
  <c r="G33" i="9"/>
  <c r="C32" i="9"/>
  <c r="E30" i="9"/>
  <c r="I28" i="9"/>
  <c r="G28" i="9"/>
  <c r="J24" i="9"/>
  <c r="P22" i="9"/>
  <c r="N22" i="9"/>
  <c r="K34" i="10" l="1"/>
  <c r="P30" i="10"/>
  <c r="G32" i="10"/>
  <c r="K32" i="10" s="1"/>
  <c r="L30" i="9"/>
  <c r="G32" i="9" s="1"/>
  <c r="K32" i="9" s="1"/>
  <c r="K28" i="9"/>
  <c r="K33" i="9"/>
  <c r="K34" i="9" s="1"/>
  <c r="P30" i="9"/>
  <c r="G35" i="9"/>
  <c r="L29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B10" i="8"/>
  <c r="B21" i="8"/>
  <c r="B22" i="8"/>
  <c r="B23" i="8"/>
  <c r="B24" i="8"/>
  <c r="B25" i="8"/>
  <c r="B26" i="8"/>
  <c r="B27" i="8"/>
  <c r="B28" i="8"/>
  <c r="B29" i="8"/>
  <c r="B8" i="8"/>
  <c r="B19" i="8"/>
  <c r="B20" i="8"/>
  <c r="B9" i="8"/>
  <c r="B11" i="8"/>
  <c r="B12" i="8"/>
  <c r="B13" i="8"/>
  <c r="B14" i="8"/>
  <c r="B15" i="8"/>
  <c r="B16" i="8"/>
  <c r="B17" i="8"/>
  <c r="B18" i="8"/>
  <c r="C36" i="7"/>
  <c r="C36" i="6"/>
  <c r="C36" i="5"/>
  <c r="I35" i="7"/>
  <c r="I35" i="6"/>
  <c r="I35" i="5"/>
  <c r="C34" i="7"/>
  <c r="I33" i="7"/>
  <c r="G33" i="7"/>
  <c r="C32" i="7"/>
  <c r="E30" i="7"/>
  <c r="I28" i="7"/>
  <c r="G28" i="7"/>
  <c r="J24" i="7"/>
  <c r="G35" i="7" s="1"/>
  <c r="P22" i="7"/>
  <c r="N22" i="7"/>
  <c r="C34" i="6"/>
  <c r="I33" i="6"/>
  <c r="G33" i="6"/>
  <c r="C32" i="6"/>
  <c r="E30" i="6"/>
  <c r="I28" i="6"/>
  <c r="G28" i="6"/>
  <c r="J24" i="6"/>
  <c r="G35" i="6" s="1"/>
  <c r="P22" i="6"/>
  <c r="N22" i="6"/>
  <c r="C34" i="5"/>
  <c r="G33" i="5"/>
  <c r="I33" i="5"/>
  <c r="G28" i="5"/>
  <c r="I28" i="5"/>
  <c r="E30" i="5"/>
  <c r="C32" i="5"/>
  <c r="K28" i="7" l="1"/>
  <c r="L30" i="6"/>
  <c r="K33" i="7"/>
  <c r="L30" i="7"/>
  <c r="K33" i="6"/>
  <c r="K28" i="6"/>
  <c r="K28" i="5"/>
  <c r="K33" i="5"/>
  <c r="J24" i="5"/>
  <c r="G35" i="5" s="1"/>
  <c r="P22" i="5"/>
  <c r="L30" i="5" s="1"/>
  <c r="N22" i="5"/>
  <c r="P30" i="6" l="1"/>
  <c r="G32" i="6"/>
  <c r="K32" i="6" s="1"/>
  <c r="K34" i="5"/>
  <c r="P30" i="5"/>
  <c r="K34" i="6"/>
  <c r="K34" i="7"/>
  <c r="P30" i="7"/>
  <c r="G32" i="7"/>
  <c r="K32" i="7" s="1"/>
  <c r="G32" i="5"/>
  <c r="K32" i="5" s="1"/>
</calcChain>
</file>

<file path=xl/sharedStrings.xml><?xml version="1.0" encoding="utf-8"?>
<sst xmlns="http://schemas.openxmlformats.org/spreadsheetml/2006/main" count="543" uniqueCount="141">
  <si>
    <t>Expected Life of Pulse Discharge Capacitors</t>
  </si>
  <si>
    <t>Lx = Lref * (Qref/Qx)^1.6 * (Vref/Vx)^7.5</t>
  </si>
  <si>
    <t>where</t>
  </si>
  <si>
    <t>x subscript refers to the application</t>
  </si>
  <si>
    <t>ref subscript refers to the reference data</t>
  </si>
  <si>
    <t>L is the expected life (in shots),</t>
  </si>
  <si>
    <t>Q is the discharge waveform Q</t>
  </si>
  <si>
    <t>V is the capacitor charge voltage.</t>
  </si>
  <si>
    <t>Note that capacitor voltage is the most important life determinant, with a 7.5 exponent. A little reduction in voltage leads to a huge increase in life.</t>
  </si>
  <si>
    <t>Voltage reversal also has a significant impact. When the voltage reverses, the mechanical stresses on the capacitor are quite high.</t>
  </si>
  <si>
    <t>Application Example</t>
  </si>
  <si>
    <t>For instance, a Maxwell type 31162, is rated at 100,000 shots at 75 kV with 20% VR. (20% VR is Q = 1.4)</t>
  </si>
  <si>
    <t>Now, we want to know the life in a Tesla coil at 90% reversal (a Q of 15) and a peak voltage of 42 kV. Applying the above formula:</t>
  </si>
  <si>
    <t>Lx = 1E5 * ( 1.4/15)^1.6 * (75/42)^7.5 = 1E5 * .0225 * 77.37 = 1.74E5 shots.</t>
  </si>
  <si>
    <t>reducing the voltage to 30 kV would increase the life by (42/30)^7.5 or 12.5 times.</t>
  </si>
  <si>
    <t>Capacitors rated for high repetition rates are necessarily overdesigned. Comparing two units from Maxwell Labs:</t>
  </si>
  <si>
    <t>1.0 uF 40 kV 1pps 1E5 shots 2.3x5.9x27.8 inches</t>
  </si>
  <si>
    <t>0.1 uF 40 kV 1000 pps 1E8 shots 2.3x5.9x14.8 inches</t>
  </si>
  <si>
    <t>Q and Voltage Reversal</t>
  </si>
  <si>
    <t>(these need to be verified, particularly at low Q's)</t>
  </si>
  <si>
    <t>Q or voltage reversal (VR) may be computed from each other by:</t>
  </si>
  <si>
    <t>Q = sqrt( 1 + 1 /( 2 /pi*ln(VR))^2)</t>
  </si>
  <si>
    <t>VR = exp( - pi/2 * sqrt(1/(q^2-1)))</t>
  </si>
  <si>
    <t>where VR is the voltage reversal expressed as a fraction (i.e. 0&lt;VR&lt;1)</t>
  </si>
  <si>
    <t>For instance, a Maxwell type</t>
  </si>
  <si>
    <t>, is rated at</t>
  </si>
  <si>
    <t xml:space="preserve"> shots at</t>
  </si>
  <si>
    <t xml:space="preserve"> VR. (</t>
  </si>
  <si>
    <t xml:space="preserve">  VR is Q =</t>
  </si>
  <si>
    <t>Now, we want to know the life in a Tesla coil at</t>
  </si>
  <si>
    <t xml:space="preserve"> ) and a peak voltage of </t>
  </si>
  <si>
    <t xml:space="preserve"> kV. Applying the above formula:</t>
  </si>
  <si>
    <t>Lref</t>
  </si>
  <si>
    <t>Vref</t>
  </si>
  <si>
    <t>Vx</t>
  </si>
  <si>
    <t>Qx</t>
  </si>
  <si>
    <t>VRref</t>
  </si>
  <si>
    <t>VRx</t>
  </si>
  <si>
    <t xml:space="preserve"> shots</t>
  </si>
  <si>
    <t xml:space="preserve">reducing the voltage to </t>
  </si>
  <si>
    <t>/</t>
  </si>
  <si>
    <t xml:space="preserve"> times.</t>
  </si>
  <si>
    <t xml:space="preserve"> kV would increase the life by                (</t>
  </si>
  <si>
    <r>
      <t xml:space="preserve"> )</t>
    </r>
    <r>
      <rPr>
        <b/>
        <sz val="11"/>
        <color rgb="FFFF0000"/>
        <rFont val="Calibri"/>
        <family val="2"/>
        <scheme val="minor"/>
      </rPr>
      <t>^7.5</t>
    </r>
    <r>
      <rPr>
        <sz val="11"/>
        <color theme="1"/>
        <rFont val="Calibri"/>
        <family val="2"/>
        <scheme val="minor"/>
      </rPr>
      <t xml:space="preserve">    or   </t>
    </r>
  </si>
  <si>
    <t xml:space="preserve">Pulse discharge operation, particularly with underdamped (ringing) discharges, places large internal stresses on components. Empirical expressions </t>
  </si>
  <si>
    <t>have been developed to predict the life of a pulse discharge capacitor under conditions other than the nominal design. For instance, in an article by</t>
  </si>
  <si>
    <t xml:space="preserve"> K. Salisbury, S. Lloyd, and Y.G. Chen at Maxwell Laboratories, "A transportable 50 KA Dual Mode Lightning Simulator", the following equation is given.</t>
  </si>
  <si>
    <t xml:space="preserve">If this were in a TC at </t>
  </si>
  <si>
    <t xml:space="preserve"> reversal         (a Q of </t>
  </si>
  <si>
    <t xml:space="preserve"> kV, it would survive (90% probability) about</t>
  </si>
  <si>
    <t xml:space="preserve">type  </t>
  </si>
  <si>
    <t xml:space="preserve"> bps,           at </t>
  </si>
  <si>
    <t>kV    with</t>
  </si>
  <si>
    <t xml:space="preserve">Qref  </t>
  </si>
  <si>
    <t xml:space="preserve">Reducing the voltage to </t>
  </si>
  <si>
    <t xml:space="preserve"> kV would increase the life to </t>
  </si>
  <si>
    <t xml:space="preserve">minutes, or </t>
  </si>
  <si>
    <t xml:space="preserve"> hours. </t>
  </si>
  <si>
    <t xml:space="preserve"> kV is even more effective, increasing the life to </t>
  </si>
  <si>
    <t>calculated</t>
  </si>
  <si>
    <t>input</t>
  </si>
  <si>
    <t xml:space="preserve">VRx </t>
  </si>
  <si>
    <t>Pulse discharge operation, particularly with underdamped (ringing) discharges, places large internal stresses on components. Empirical expressions</t>
  </si>
  <si>
    <t xml:space="preserve"> have been developed to predict the life of a pulse discharge capacitor under conditions other than the nominal design. For instance, in an article </t>
  </si>
  <si>
    <t>by K. Salisbury, S. Lloyd, and Y.G. Chen at Maxwell Laboratories, "A transportable 50 KA Dual Mode Lightning Simulator", the following equation is given.</t>
  </si>
  <si>
    <t>If this were in a Tesla coil at 120 bps, at 42 kV, it would survive (90% probability) about 24 minutes of run time. Reducing the voltage to 30 kV voltage</t>
  </si>
  <si>
    <t xml:space="preserve"> to 20 kV is even more effective, increasing the life to 100 hours. Killing the Q down to 10 would increase the life by (15/10)^1.6 some 90 percent.</t>
  </si>
  <si>
    <t>If the high reprate capacitor (with a 1000 times the life) were scaled to the capacity of the low rep rate unit, it would be about 5 times the sizeincreasing</t>
  </si>
  <si>
    <t xml:space="preserve"> the rated voltage by about 2.5 times. This would require about 6.25 times the total capacitance arranged in a series parallel configuration, which correlates </t>
  </si>
  <si>
    <t>well with the physical size increase factor of 5.</t>
  </si>
  <si>
    <t>37573T</t>
  </si>
  <si>
    <t xml:space="preserve"> hours</t>
  </si>
  <si>
    <t xml:space="preserve"> hours.</t>
  </si>
  <si>
    <t xml:space="preserve"> Killing the Q down to</t>
  </si>
  <si>
    <t xml:space="preserve"> would increase the life by                      (</t>
  </si>
  <si>
    <t xml:space="preserve">( corresponding to VR  = </t>
  </si>
  <si>
    <t xml:space="preserve"> )</t>
  </si>
  <si>
    <r>
      <t xml:space="preserve">Note that capacitor voltage is the most important life determinant, with a </t>
    </r>
    <r>
      <rPr>
        <b/>
        <sz val="11"/>
        <color rgb="FFFF0000"/>
        <rFont val="Calibri"/>
        <family val="2"/>
        <scheme val="minor"/>
      </rPr>
      <t>7.5</t>
    </r>
    <r>
      <rPr>
        <sz val="11"/>
        <color theme="1"/>
        <rFont val="Calibri"/>
        <family val="2"/>
        <scheme val="minor"/>
      </rPr>
      <t xml:space="preserve"> exponent. A little reduction in voltage leads to a huge increase in life.</t>
    </r>
  </si>
  <si>
    <t xml:space="preserve">  minutes of run time. =</t>
  </si>
  <si>
    <t>Charge</t>
  </si>
  <si>
    <t>Voltage</t>
  </si>
  <si>
    <t>% of Rated</t>
  </si>
  <si>
    <t>Life</t>
  </si>
  <si>
    <t>Expectancy</t>
  </si>
  <si>
    <t>Muliplier</t>
  </si>
  <si>
    <t>Charge Voltage vs. Life</t>
  </si>
  <si>
    <t>Voltage Reversal</t>
  </si>
  <si>
    <t>Reversal</t>
  </si>
  <si>
    <t>%</t>
  </si>
  <si>
    <r>
      <t>Lx = Lref * (Qref/Qx)^1.6 *</t>
    </r>
    <r>
      <rPr>
        <b/>
        <sz val="11"/>
        <color rgb="FFFF0000"/>
        <rFont val="Calibri"/>
        <family val="2"/>
        <scheme val="minor"/>
      </rPr>
      <t xml:space="preserve"> (Vref/Vx)^7.5</t>
    </r>
  </si>
  <si>
    <t>Qref</t>
  </si>
  <si>
    <t>Q</t>
  </si>
  <si>
    <t>If the high reprate capacitor (with a 1000 times the life) were scaled to the capacity of the low rep rate unit, it would be about 5 times the size of the</t>
  </si>
  <si>
    <t>low rep. rate unit. A life factor of 1000 can be achieved by increasing the rated voltage by about 2.5 times. This would require about 6.25 times the</t>
  </si>
  <si>
    <t xml:space="preserve"> total capacitance arranged in a series parallel configuration, which correlates well with the physical size increase factor of 5.</t>
  </si>
  <si>
    <t>* --&gt; this relation is used above for the calculation of Qref and Qx</t>
  </si>
  <si>
    <t>) * --&gt;</t>
  </si>
  <si>
    <t xml:space="preserve">Copyright 1998, Jim Lux / caplife.htm / 9 May 1998 </t>
  </si>
  <si>
    <t>High Voltage Experimenter's Handbook</t>
  </si>
  <si>
    <t>Graphs: Life vs. % of Charge Voltage Rated and % Voltage Reversal (relations used in calculations)</t>
  </si>
  <si>
    <t>+</t>
  </si>
  <si>
    <t>Exponent</t>
  </si>
  <si>
    <r>
      <t>Sum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>^2</t>
    </r>
  </si>
  <si>
    <t>Exper. Life</t>
  </si>
  <si>
    <t>Maxwell's</t>
  </si>
  <si>
    <t>Graph</t>
  </si>
  <si>
    <t>Fitting "experimental" Data from Maxwell's Graph</t>
  </si>
  <si>
    <t>Data from</t>
  </si>
  <si>
    <t>Muliplier Fit</t>
  </si>
  <si>
    <t>Unsuccessful: the character of the curve is not represented adequately.</t>
  </si>
  <si>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>^2</t>
    </r>
  </si>
  <si>
    <r>
      <t>calc-exp.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/>
    </r>
  </si>
  <si>
    <t>Linear Life</t>
  </si>
  <si>
    <t>VR.ref</t>
  </si>
  <si>
    <r>
      <t>Voltage Reversal</t>
    </r>
    <r>
      <rPr>
        <b/>
        <sz val="11"/>
        <color rgb="FFFF0000"/>
        <rFont val="Calibri"/>
        <family val="2"/>
        <scheme val="minor"/>
      </rPr>
      <t xml:space="preserve"> Version Jim Lux</t>
    </r>
  </si>
  <si>
    <r>
      <t xml:space="preserve">Coefficient of Life, </t>
    </r>
    <r>
      <rPr>
        <b/>
        <sz val="11"/>
        <color rgb="FF7030A0"/>
        <rFont val="Calibri"/>
        <family val="2"/>
        <scheme val="minor"/>
      </rPr>
      <t>exponent 1.6</t>
    </r>
  </si>
  <si>
    <r>
      <t xml:space="preserve">Coefficient of Life, </t>
    </r>
    <r>
      <rPr>
        <b/>
        <sz val="11"/>
        <color rgb="FFFF0000"/>
        <rFont val="Calibri"/>
        <family val="2"/>
        <scheme val="minor"/>
      </rPr>
      <t>exponent 2.85</t>
    </r>
  </si>
  <si>
    <r>
      <t xml:space="preserve">Coefficient of Life, </t>
    </r>
    <r>
      <rPr>
        <b/>
        <sz val="11"/>
        <color rgb="FF00B050"/>
        <rFont val="Calibri"/>
        <family val="2"/>
        <scheme val="minor"/>
      </rPr>
      <t>exponent 2.6</t>
    </r>
  </si>
  <si>
    <r>
      <t xml:space="preserve">Coefficient of Life, </t>
    </r>
    <r>
      <rPr>
        <b/>
        <sz val="11"/>
        <color rgb="FF00B0F0"/>
        <rFont val="Calibri"/>
        <family val="2"/>
        <scheme val="minor"/>
      </rPr>
      <t>exponent 2</t>
    </r>
  </si>
  <si>
    <t>Log of Life</t>
  </si>
  <si>
    <t xml:space="preserve">VR.exponent = </t>
  </si>
  <si>
    <t>a different alternative VR.exponent)</t>
  </si>
  <si>
    <t xml:space="preserve">(see the "Graphs"-Tab for ev. choice of </t>
  </si>
  <si>
    <t>( Caps of my Teslacoil "Black &amp; White" )</t>
  </si>
  <si>
    <t>( one of the Caps of Fritz Egli's TC "Xanthippe" )</t>
  </si>
  <si>
    <t>( one of the Caps of Andi Saile's TC "Sirius" )</t>
  </si>
  <si>
    <t>http://www.ga.com/series-s-ss-high-voltage-1-pps-capacitors</t>
  </si>
  <si>
    <t>http://www.ga.com/capacitor-product-guide</t>
  </si>
  <si>
    <t>http://www.ga.com/series-se-sse-high-voltage-1000-pps-capacitors</t>
  </si>
  <si>
    <t>http://www.ga.com/series-de-high-voltage-pulse-discharge-capacitors</t>
  </si>
  <si>
    <t>http://www.ga.com/standard-capacitor-products-information-request-form</t>
  </si>
  <si>
    <t>Datasheet:  https://www.google.com/url.....37667.pdf</t>
  </si>
  <si>
    <t>GA/Maxwell source for Data:</t>
  </si>
  <si>
    <t xml:space="preserve">GA/Maxwell </t>
  </si>
  <si>
    <t>Standard Capacitor Products Information Request Form</t>
  </si>
  <si>
    <t>Graph from GA/Maxwell Standard Capacitor Products Information Request Form</t>
  </si>
  <si>
    <t>+ lifetime</t>
  </si>
  <si>
    <t>GA/Maxwell:  https://www.google.com/url....Fvoltage-reversal.pdf&amp;usg=AOvVaw0Tb4kngjpLkXGUoroep-It</t>
  </si>
  <si>
    <t>VR.exponent</t>
  </si>
  <si>
    <t xml:space="preserve"> &lt;-- for dropdown-Input</t>
  </si>
  <si>
    <t>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</si>
</sst>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/>
    <xf numFmtId="0" fontId="4" fillId="0" borderId="0" xfId="0" applyFont="1"/>
    <xf numFmtId="0" fontId="0" fillId="2" borderId="0" xfId="0" applyFill="1"/>
    <xf numFmtId="11" fontId="0" fillId="2" borderId="0" xfId="0" applyNumberFormat="1" applyFill="1"/>
    <xf numFmtId="9" fontId="0" fillId="2" borderId="0" xfId="0" applyNumberFormat="1" applyFill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3" borderId="0" xfId="0" applyNumberFormat="1" applyFill="1"/>
    <xf numFmtId="11" fontId="0" fillId="3" borderId="0" xfId="0" applyNumberFormat="1" applyFill="1"/>
    <xf numFmtId="0" fontId="0" fillId="3" borderId="0" xfId="0" applyFill="1"/>
    <xf numFmtId="0" fontId="0" fillId="3" borderId="0" xfId="0" quotePrefix="1" applyFill="1" applyAlignment="1">
      <alignment horizontal="right"/>
    </xf>
    <xf numFmtId="1" fontId="0" fillId="3" borderId="0" xfId="0" applyNumberFormat="1" applyFill="1"/>
    <xf numFmtId="164" fontId="0" fillId="3" borderId="0" xfId="0" applyNumberFormat="1" applyFill="1"/>
    <xf numFmtId="0" fontId="0" fillId="0" borderId="0" xfId="0" quotePrefix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/>
    <xf numFmtId="9" fontId="0" fillId="3" borderId="0" xfId="0" applyNumberFormat="1" applyFill="1"/>
    <xf numFmtId="9" fontId="0" fillId="3" borderId="0" xfId="0" applyNumberFormat="1" applyFill="1" applyAlignment="1">
      <alignment horizontal="center"/>
    </xf>
    <xf numFmtId="9" fontId="0" fillId="0" borderId="0" xfId="0" applyNumberFormat="1" applyFill="1"/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0" fontId="1" fillId="0" borderId="0" xfId="0" applyFont="1"/>
    <xf numFmtId="0" fontId="6" fillId="0" borderId="2" xfId="0" applyFont="1" applyBorder="1"/>
    <xf numFmtId="0" fontId="6" fillId="0" borderId="4" xfId="0" applyFont="1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0" fillId="0" borderId="5" xfId="0" applyBorder="1"/>
    <xf numFmtId="9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3" xfId="0" applyBorder="1"/>
    <xf numFmtId="165" fontId="0" fillId="0" borderId="5" xfId="0" applyNumberForma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0" fillId="0" borderId="0" xfId="0" applyNumberFormat="1"/>
    <xf numFmtId="166" fontId="0" fillId="0" borderId="0" xfId="0" applyNumberFormat="1" applyFont="1" applyBorder="1" applyAlignment="1">
      <alignment horizontal="center"/>
    </xf>
    <xf numFmtId="0" fontId="0" fillId="0" borderId="0" xfId="0" quotePrefix="1" applyBorder="1"/>
    <xf numFmtId="165" fontId="0" fillId="2" borderId="7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 applyAlignment="1">
      <alignment horizontal="right" indent="2"/>
    </xf>
    <xf numFmtId="0" fontId="9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1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4" xfId="0" applyFill="1" applyBorder="1"/>
    <xf numFmtId="0" fontId="0" fillId="0" borderId="0" xfId="0" applyFill="1" applyBorder="1"/>
    <xf numFmtId="0" fontId="0" fillId="5" borderId="12" xfId="0" applyFont="1" applyFill="1" applyBorder="1" applyAlignment="1">
      <alignment horizontal="right"/>
    </xf>
    <xf numFmtId="165" fontId="0" fillId="4" borderId="13" xfId="0" applyNumberForma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27F92C"/>
      <color rgb="FFB00CFA"/>
      <color rgb="FFFF07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 vs. Charge Voltage % of Rated</a:t>
            </a:r>
          </a:p>
        </c:rich>
      </c:tx>
      <c:layout>
        <c:manualLayout>
          <c:xMode val="edge"/>
          <c:yMode val="edge"/>
          <c:x val="0.17179155730533682"/>
          <c:y val="1.4773775114448287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Graphs!$B$5:$B$7</c:f>
              <c:strCache>
                <c:ptCount val="3"/>
                <c:pt idx="0">
                  <c:v>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marker>
            <c:symbol val="square"/>
            <c:size val="5"/>
            <c:spPr>
              <a:noFill/>
            </c:spPr>
          </c:marker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710-4CB6-BCCE-376E38AA38D6}"/>
              </c:ext>
            </c:extLst>
          </c:dPt>
          <c:xVal>
            <c:numRef>
              <c:f>Graphs!$A$8:$A$29</c:f>
              <c:numCache>
                <c:formatCode>0%</c:formatCode>
                <c:ptCount val="22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1</c:v>
                </c:pt>
                <c:pt idx="18">
                  <c:v>1.05</c:v>
                </c:pt>
                <c:pt idx="19">
                  <c:v>1.1000000000000001</c:v>
                </c:pt>
                <c:pt idx="20">
                  <c:v>1.1499999999999999</c:v>
                </c:pt>
                <c:pt idx="21">
                  <c:v>1.2</c:v>
                </c:pt>
              </c:numCache>
            </c:numRef>
          </c:xVal>
          <c:yVal>
            <c:numRef>
              <c:f>Graphs!$B$8:$B$29</c:f>
              <c:numCache>
                <c:formatCode>0.00E+00</c:formatCode>
                <c:ptCount val="22"/>
                <c:pt idx="0">
                  <c:v>1511177.7726399906</c:v>
                </c:pt>
                <c:pt idx="1">
                  <c:v>174692.81074217102</c:v>
                </c:pt>
                <c:pt idx="2" formatCode="General">
                  <c:v>32767.999999999985</c:v>
                </c:pt>
                <c:pt idx="3" formatCode="0">
                  <c:v>8348.1566454072054</c:v>
                </c:pt>
                <c:pt idx="4" formatCode="0">
                  <c:v>2627.1790205308066</c:v>
                </c:pt>
                <c:pt idx="5" formatCode="0.0">
                  <c:v>965.05055547130701</c:v>
                </c:pt>
                <c:pt idx="6" formatCode="0.0">
                  <c:v>398.93868030501977</c:v>
                </c:pt>
                <c:pt idx="7" formatCode="0.0">
                  <c:v>181.01933598375612</c:v>
                </c:pt>
                <c:pt idx="8" formatCode="0.00">
                  <c:v>88.568609979657893</c:v>
                </c:pt>
                <c:pt idx="9" formatCode="0.00">
                  <c:v>46.117485737304463</c:v>
                </c:pt>
                <c:pt idx="10" formatCode="0.00">
                  <c:v>25.301707174081375</c:v>
                </c:pt>
                <c:pt idx="11" formatCode="0.00">
                  <c:v>14.513250787565358</c:v>
                </c:pt>
                <c:pt idx="12" formatCode="0.000">
                  <c:v>8.6504863378169397</c:v>
                </c:pt>
                <c:pt idx="13" formatCode="0.000">
                  <c:v>5.331201499700045</c:v>
                </c:pt>
                <c:pt idx="14" formatCode="0.000">
                  <c:v>3.3834367106787413</c:v>
                </c:pt>
                <c:pt idx="15" formatCode="0.000">
                  <c:v>2.2038456728225926</c:v>
                </c:pt>
                <c:pt idx="16" formatCode="0.000">
                  <c:v>1.4691730741349647</c:v>
                </c:pt>
                <c:pt idx="17" formatCode="General">
                  <c:v>1</c:v>
                </c:pt>
                <c:pt idx="18" formatCode="0.000">
                  <c:v>0.69355396191714591</c:v>
                </c:pt>
                <c:pt idx="19" formatCode="0.000">
                  <c:v>0.48927706810064536</c:v>
                </c:pt>
                <c:pt idx="20" formatCode="0.000">
                  <c:v>0.35056309732391472</c:v>
                </c:pt>
                <c:pt idx="21" formatCode="0.000">
                  <c:v>0.25476552262595209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10-4CB6-BCCE-376E38AA3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34080"/>
        <c:axId val="172344448"/>
      </c:scatterChart>
      <c:valAx>
        <c:axId val="172334080"/>
        <c:scaling>
          <c:orientation val="minMax"/>
          <c:max val="1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Charge Voltage % of Rated Voltage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72344448"/>
        <c:crossesAt val="0.1"/>
        <c:crossBetween val="midCat"/>
        <c:majorUnit val="0.1"/>
        <c:minorUnit val="5.000000000000001E-2"/>
      </c:valAx>
      <c:valAx>
        <c:axId val="172344448"/>
        <c:scaling>
          <c:logBase val="10"/>
          <c:orientation val="minMax"/>
          <c:max val="100000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Life</a:t>
                </a:r>
                <a:r>
                  <a:rPr lang="de-CH" baseline="0"/>
                  <a:t> Expectancy Multipllier</a:t>
                </a:r>
                <a:endParaRPr lang="de-CH"/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172334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 vs. %Voltage Reversal 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Graphs!$K$6:$K$8</c:f>
              <c:strCache>
                <c:ptCount val="3"/>
                <c:pt idx="0">
                  <c:v>^1.6 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spPr>
            <a:ln w="19050">
              <a:solidFill>
                <a:srgbClr val="B00CFA"/>
              </a:solidFill>
            </a:ln>
          </c:spPr>
          <c:marker>
            <c:symbol val="square"/>
            <c:size val="6"/>
            <c:spPr>
              <a:noFill/>
              <a:ln w="15875">
                <a:solidFill>
                  <a:srgbClr val="B00CFA"/>
                </a:solidFill>
              </a:ln>
            </c:spPr>
          </c:marker>
          <c:dPt>
            <c:idx val="1"/>
            <c:marker>
              <c:spPr>
                <a:solidFill>
                  <a:srgbClr val="FF0000"/>
                </a:solidFill>
                <a:ln w="15875">
                  <a:solidFill>
                    <a:srgbClr val="B00CF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7A5-45C9-932C-D68243668BAE}"/>
              </c:ext>
            </c:extLst>
          </c:dPt>
          <c:xVal>
            <c:numRef>
              <c:f>Graphs!$J$9:$J$26</c:f>
              <c:numCache>
                <c:formatCode>0%</c:formatCode>
                <c:ptCount val="1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0.99</c:v>
                </c:pt>
              </c:numCache>
            </c:numRef>
          </c:xVal>
          <c:yVal>
            <c:numRef>
              <c:f>Graphs!$K$9:$K$26</c:f>
              <c:numCache>
                <c:formatCode>0.000</c:formatCode>
                <c:ptCount val="18"/>
                <c:pt idx="0">
                  <c:v>1.1248282268319749</c:v>
                </c:pt>
                <c:pt idx="1">
                  <c:v>1</c:v>
                </c:pt>
                <c:pt idx="2">
                  <c:v>0.88215011880930094</c:v>
                </c:pt>
                <c:pt idx="3">
                  <c:v>0.77110092116957596</c:v>
                </c:pt>
                <c:pt idx="4">
                  <c:v>0.66708267702899271</c:v>
                </c:pt>
                <c:pt idx="5">
                  <c:v>0.5704138857867268</c:v>
                </c:pt>
                <c:pt idx="6">
                  <c:v>0.48136957852204287</c:v>
                </c:pt>
                <c:pt idx="7">
                  <c:v>0.4001281002048272</c:v>
                </c:pt>
                <c:pt idx="8">
                  <c:v>0.32675643796100673</c:v>
                </c:pt>
                <c:pt idx="9">
                  <c:v>0.26121619033715354</c:v>
                </c:pt>
                <c:pt idx="10">
                  <c:v>0.20338088375728916</c:v>
                </c:pt>
                <c:pt idx="11">
                  <c:v>0.15305957737191725</c:v>
                </c:pt>
                <c:pt idx="12">
                  <c:v>0.11002448786080291</c:v>
                </c:pt>
                <c:pt idx="13">
                  <c:v>7.4043114549772859E-2</c:v>
                </c:pt>
                <c:pt idx="14" formatCode="0.0000">
                  <c:v>4.4919845218879872E-2</c:v>
                </c:pt>
                <c:pt idx="15" formatCode="0.0000">
                  <c:v>2.2564011566275764E-2</c:v>
                </c:pt>
                <c:pt idx="16" formatCode="0.0000">
                  <c:v>7.151843046605248E-3</c:v>
                </c:pt>
                <c:pt idx="17" formatCode="0.0000">
                  <c:v>5.2743141978448655E-4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A5-45C9-932C-D68243668BAE}"/>
            </c:ext>
          </c:extLst>
        </c:ser>
        <c:ser>
          <c:idx val="1"/>
          <c:order val="1"/>
          <c:tx>
            <c:strRef>
              <c:f>Graphs!$V$6:$V$8</c:f>
              <c:strCache>
                <c:ptCount val="3"/>
                <c:pt idx="0">
                  <c:v>^2.0 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triangle"/>
            <c:size val="7"/>
            <c:spPr>
              <a:noFill/>
              <a:ln w="15875">
                <a:solidFill>
                  <a:schemeClr val="tx2"/>
                </a:solidFill>
              </a:ln>
            </c:spPr>
          </c:marker>
          <c:xVal>
            <c:numRef>
              <c:f>Graphs!$J$9:$J$26</c:f>
              <c:numCache>
                <c:formatCode>0%</c:formatCode>
                <c:ptCount val="1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0.99</c:v>
                </c:pt>
              </c:numCache>
            </c:numRef>
          </c:xVal>
          <c:yVal>
            <c:numRef>
              <c:f>Graphs!$V$9:$V$26</c:f>
              <c:numCache>
                <c:formatCode>0.0000</c:formatCode>
                <c:ptCount val="18"/>
                <c:pt idx="0">
                  <c:v>1.1583978897136236</c:v>
                </c:pt>
                <c:pt idx="1">
                  <c:v>1</c:v>
                </c:pt>
                <c:pt idx="2">
                  <c:v>0.85492520499649993</c:v>
                </c:pt>
                <c:pt idx="3">
                  <c:v>0.72258514231211057</c:v>
                </c:pt>
                <c:pt idx="4">
                  <c:v>0.60287125713225376</c:v>
                </c:pt>
                <c:pt idx="5">
                  <c:v>0.49572133596465068</c:v>
                </c:pt>
                <c:pt idx="6">
                  <c:v>0.40095746214456185</c:v>
                </c:pt>
                <c:pt idx="7">
                  <c:v>0.31823563953317713</c:v>
                </c:pt>
                <c:pt idx="8">
                  <c:v>0.2470473452452315</c:v>
                </c:pt>
                <c:pt idx="9">
                  <c:v>0.18674548652180753</c:v>
                </c:pt>
                <c:pt idx="10">
                  <c:v>0.13658017432413061</c:v>
                </c:pt>
                <c:pt idx="11">
                  <c:v>9.5736079194327875E-2</c:v>
                </c:pt>
                <c:pt idx="12">
                  <c:v>6.3366788130852628E-2</c:v>
                </c:pt>
                <c:pt idx="13">
                  <c:v>3.8623875479525331E-2</c:v>
                </c:pt>
                <c:pt idx="14">
                  <c:v>2.0679870456996582E-2</c:v>
                </c:pt>
                <c:pt idx="15">
                  <c:v>8.7452130078752629E-3</c:v>
                </c:pt>
                <c:pt idx="16">
                  <c:v>2.0798042850517476E-3</c:v>
                </c:pt>
                <c:pt idx="17">
                  <c:v>7.9929573785179648E-5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A5-45C9-932C-D68243668BAE}"/>
            </c:ext>
          </c:extLst>
        </c:ser>
        <c:ser>
          <c:idx val="2"/>
          <c:order val="2"/>
          <c:tx>
            <c:strRef>
              <c:f>Graphs!$Y$6:$Y$8</c:f>
              <c:strCache>
                <c:ptCount val="3"/>
                <c:pt idx="0">
                  <c:v>^2.6 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spPr>
            <a:ln>
              <a:solidFill>
                <a:srgbClr val="27F92C"/>
              </a:solidFill>
            </a:ln>
          </c:spPr>
          <c:marker>
            <c:symbol val="diamond"/>
            <c:size val="7"/>
            <c:spPr>
              <a:solidFill>
                <a:srgbClr val="27F92C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Graphs!$J$9:$J$26</c:f>
              <c:numCache>
                <c:formatCode>0%</c:formatCode>
                <c:ptCount val="1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0.99</c:v>
                </c:pt>
              </c:numCache>
            </c:numRef>
          </c:xVal>
          <c:yVal>
            <c:numRef>
              <c:f>Graphs!$Y$9:$Y$26</c:f>
              <c:numCache>
                <c:formatCode>0.000</c:formatCode>
                <c:ptCount val="18"/>
                <c:pt idx="0">
                  <c:v>1.2106401837783929</c:v>
                </c:pt>
                <c:pt idx="1">
                  <c:v>1</c:v>
                </c:pt>
                <c:pt idx="2">
                  <c:v>0.81565510286035026</c:v>
                </c:pt>
                <c:pt idx="3">
                  <c:v>0.65547440145366909</c:v>
                </c:pt>
                <c:pt idx="4">
                  <c:v>0.5179549075001687</c:v>
                </c:pt>
                <c:pt idx="5">
                  <c:v>0.40161404740116791</c:v>
                </c:pt>
                <c:pt idx="6">
                  <c:v>0.30480900313386938</c:v>
                </c:pt>
                <c:pt idx="7">
                  <c:v>0.22572177650358366</c:v>
                </c:pt>
                <c:pt idx="8">
                  <c:v>0.16241055436432231</c:v>
                </c:pt>
                <c:pt idx="9">
                  <c:v>0.11288211770201372</c:v>
                </c:pt>
                <c:pt idx="10">
                  <c:v>7.5162975012626351E-2</c:v>
                </c:pt>
                <c:pt idx="11">
                  <c:v>4.7358542535581784E-2</c:v>
                </c:pt>
                <c:pt idx="12" formatCode="0.0000">
                  <c:v>2.7696201041672648E-2</c:v>
                </c:pt>
                <c:pt idx="13" formatCode="0.0000">
                  <c:v>1.4551662141167647E-2</c:v>
                </c:pt>
                <c:pt idx="14" formatCode="0.0000">
                  <c:v>6.4596971597060491E-3</c:v>
                </c:pt>
                <c:pt idx="15" formatCode="0.0000">
                  <c:v>2.1100925770614573E-3</c:v>
                </c:pt>
                <c:pt idx="16" formatCode="0.0000">
                  <c:v>3.2615888160117379E-4</c:v>
                </c:pt>
                <c:pt idx="17" formatCode="0.0000">
                  <c:v>4.715413106694681E-6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A5-45C9-932C-D68243668BAE}"/>
            </c:ext>
          </c:extLst>
        </c:ser>
        <c:ser>
          <c:idx val="3"/>
          <c:order val="3"/>
          <c:tx>
            <c:strRef>
              <c:f>Graphs!$AD$6:$AD$8</c:f>
              <c:strCache>
                <c:ptCount val="3"/>
                <c:pt idx="0">
                  <c:v>Data from</c:v>
                </c:pt>
                <c:pt idx="1">
                  <c:v>Maxwell's</c:v>
                </c:pt>
                <c:pt idx="2">
                  <c:v>Graph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xVal>
            <c:numRef>
              <c:f>Graphs!$AA$10:$AA$23</c:f>
              <c:numCache>
                <c:formatCode>0%</c:formatCode>
                <c:ptCount val="14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</c:numCache>
            </c:numRef>
          </c:xVal>
          <c:yVal>
            <c:numRef>
              <c:f>Graphs!$AD$10:$AD$23</c:f>
              <c:numCache>
                <c:formatCode>General</c:formatCode>
                <c:ptCount val="14"/>
                <c:pt idx="0">
                  <c:v>1</c:v>
                </c:pt>
                <c:pt idx="1">
                  <c:v>0.72</c:v>
                </c:pt>
                <c:pt idx="2">
                  <c:v>0.54500000000000004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0.22</c:v>
                </c:pt>
                <c:pt idx="6">
                  <c:v>0.16</c:v>
                </c:pt>
                <c:pt idx="7">
                  <c:v>0.11</c:v>
                </c:pt>
                <c:pt idx="8">
                  <c:v>8.2000000000000003E-2</c:v>
                </c:pt>
                <c:pt idx="9">
                  <c:v>5.7000000000000002E-2</c:v>
                </c:pt>
                <c:pt idx="10">
                  <c:v>3.7999999999999999E-2</c:v>
                </c:pt>
                <c:pt idx="11">
                  <c:v>2.4E-2</c:v>
                </c:pt>
                <c:pt idx="12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A5-45C9-932C-D68243668BAE}"/>
            </c:ext>
          </c:extLst>
        </c:ser>
        <c:ser>
          <c:idx val="4"/>
          <c:order val="4"/>
          <c:tx>
            <c:strRef>
              <c:f>Graphs!$AB$6:$AB$8</c:f>
              <c:strCache>
                <c:ptCount val="3"/>
                <c:pt idx="0">
                  <c:v>^2.8 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noFill/>
              <a:ln w="15875">
                <a:solidFill>
                  <a:srgbClr val="FF0000"/>
                </a:solidFill>
              </a:ln>
            </c:spPr>
          </c:marker>
          <c:xVal>
            <c:numRef>
              <c:f>Graphs!$AA$9:$AA$26</c:f>
              <c:numCache>
                <c:formatCode>0%</c:formatCode>
                <c:ptCount val="1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0.99</c:v>
                </c:pt>
              </c:numCache>
            </c:numRef>
          </c:xVal>
          <c:yVal>
            <c:numRef>
              <c:f>Graphs!$AB$9:$AB$26</c:f>
              <c:numCache>
                <c:formatCode>0.000</c:formatCode>
                <c:ptCount val="18"/>
                <c:pt idx="0">
                  <c:v>1.2285727002508975</c:v>
                </c:pt>
                <c:pt idx="1">
                  <c:v>1</c:v>
                </c:pt>
                <c:pt idx="2">
                  <c:v>0.80297009223088878</c:v>
                </c:pt>
                <c:pt idx="3">
                  <c:v>0.63451901063857663</c:v>
                </c:pt>
                <c:pt idx="4">
                  <c:v>0.49239587966542625</c:v>
                </c:pt>
                <c:pt idx="5">
                  <c:v>0.37439725508592314</c:v>
                </c:pt>
                <c:pt idx="6">
                  <c:v>0.27818750577704343</c:v>
                </c:pt>
                <c:pt idx="7">
                  <c:v>0.20130211652593827</c:v>
                </c:pt>
                <c:pt idx="8">
                  <c:v>0.14121871906964825</c:v>
                </c:pt>
                <c:pt idx="9">
                  <c:v>9.5444335732064525E-2</c:v>
                </c:pt>
                <c:pt idx="10">
                  <c:v>6.1594612558242119E-2</c:v>
                </c:pt>
                <c:pt idx="11">
                  <c:v>3.745466285739827E-2</c:v>
                </c:pt>
                <c:pt idx="12">
                  <c:v>2.1018725211347827E-2</c:v>
                </c:pt>
                <c:pt idx="13">
                  <c:v>1.0509890411874811E-2</c:v>
                </c:pt>
                <c:pt idx="14" formatCode="0.0000">
                  <c:v>4.3829542706617149E-3</c:v>
                </c:pt>
                <c:pt idx="15" formatCode="0.0000">
                  <c:v>1.31364660851186E-3</c:v>
                </c:pt>
                <c:pt idx="16" formatCode="0.0000">
                  <c:v>1.758860744482002E-4</c:v>
                </c:pt>
                <c:pt idx="17" formatCode="0.0000">
                  <c:v>1.8356526095224891E-6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7A5-45C9-932C-D68243668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59392"/>
        <c:axId val="172861312"/>
      </c:scatterChart>
      <c:valAx>
        <c:axId val="172859392"/>
        <c:scaling>
          <c:orientation val="minMax"/>
          <c:max val="1"/>
          <c:min val="0.1500000000000000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Voltage Reversal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72861312"/>
        <c:crossesAt val="1.0000000000000002E-4"/>
        <c:crossBetween val="midCat"/>
        <c:majorUnit val="0.1"/>
        <c:minorUnit val="5.000000000000001E-2"/>
      </c:valAx>
      <c:valAx>
        <c:axId val="172861312"/>
        <c:scaling>
          <c:logBase val="10"/>
          <c:orientation val="minMax"/>
          <c:max val="1"/>
          <c:min val="1.0000000000000002E-3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Life</a:t>
                </a:r>
                <a:r>
                  <a:rPr lang="de-CH" baseline="0"/>
                  <a:t> Expectancy Multipllier</a:t>
                </a:r>
                <a:endParaRPr lang="de-CH"/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172859392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 vs. %Voltage Reversal 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2"/>
          <c:tx>
            <c:strRef>
              <c:f>Graphs!$O$41:$O$43</c:f>
              <c:strCache>
                <c:ptCount val="3"/>
                <c:pt idx="0">
                  <c:v>Data from</c:v>
                </c:pt>
                <c:pt idx="1">
                  <c:v>Maxwell's</c:v>
                </c:pt>
                <c:pt idx="2">
                  <c:v>Graph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xVal>
            <c:numRef>
              <c:f>Graphs!$N$47:$N$60</c:f>
              <c:numCache>
                <c:formatCode>0%</c:formatCode>
                <c:ptCount val="14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</c:numCache>
            </c:numRef>
          </c:xVal>
          <c:yVal>
            <c:numRef>
              <c:f>Graphs!$O$47:$O$60</c:f>
              <c:numCache>
                <c:formatCode>General</c:formatCode>
                <c:ptCount val="14"/>
                <c:pt idx="0">
                  <c:v>1</c:v>
                </c:pt>
                <c:pt idx="1">
                  <c:v>0.72</c:v>
                </c:pt>
                <c:pt idx="2">
                  <c:v>0.54500000000000004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0.22</c:v>
                </c:pt>
                <c:pt idx="6">
                  <c:v>0.16</c:v>
                </c:pt>
                <c:pt idx="7">
                  <c:v>0.11</c:v>
                </c:pt>
                <c:pt idx="8">
                  <c:v>8.2000000000000003E-2</c:v>
                </c:pt>
                <c:pt idx="9">
                  <c:v>5.7000000000000002E-2</c:v>
                </c:pt>
                <c:pt idx="10">
                  <c:v>3.7999999999999999E-2</c:v>
                </c:pt>
                <c:pt idx="11">
                  <c:v>2.4E-2</c:v>
                </c:pt>
                <c:pt idx="12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61-4CF8-9F70-163DA63FE6B5}"/>
            </c:ext>
          </c:extLst>
        </c:ser>
        <c:ser>
          <c:idx val="0"/>
          <c:order val="0"/>
          <c:tx>
            <c:strRef>
              <c:f>Graphs!$K$6:$K$8</c:f>
              <c:strCache>
                <c:ptCount val="3"/>
                <c:pt idx="0">
                  <c:v>^1.6 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marker>
            <c:symbol val="square"/>
            <c:size val="5"/>
            <c:spPr>
              <a:noFill/>
            </c:spPr>
          </c:marker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C61-4CF8-9F70-163DA63FE6B5}"/>
              </c:ext>
            </c:extLst>
          </c:dPt>
          <c:xVal>
            <c:numRef>
              <c:f>Graphs!$J$9:$J$26</c:f>
              <c:numCache>
                <c:formatCode>0%</c:formatCode>
                <c:ptCount val="1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0.99</c:v>
                </c:pt>
              </c:numCache>
            </c:numRef>
          </c:xVal>
          <c:yVal>
            <c:numRef>
              <c:f>Graphs!$K$9:$K$26</c:f>
              <c:numCache>
                <c:formatCode>0.000</c:formatCode>
                <c:ptCount val="18"/>
                <c:pt idx="0">
                  <c:v>1.1248282268319749</c:v>
                </c:pt>
                <c:pt idx="1">
                  <c:v>1</c:v>
                </c:pt>
                <c:pt idx="2">
                  <c:v>0.88215011880930094</c:v>
                </c:pt>
                <c:pt idx="3">
                  <c:v>0.77110092116957596</c:v>
                </c:pt>
                <c:pt idx="4">
                  <c:v>0.66708267702899271</c:v>
                </c:pt>
                <c:pt idx="5">
                  <c:v>0.5704138857867268</c:v>
                </c:pt>
                <c:pt idx="6">
                  <c:v>0.48136957852204287</c:v>
                </c:pt>
                <c:pt idx="7">
                  <c:v>0.4001281002048272</c:v>
                </c:pt>
                <c:pt idx="8">
                  <c:v>0.32675643796100673</c:v>
                </c:pt>
                <c:pt idx="9">
                  <c:v>0.26121619033715354</c:v>
                </c:pt>
                <c:pt idx="10">
                  <c:v>0.20338088375728916</c:v>
                </c:pt>
                <c:pt idx="11">
                  <c:v>0.15305957737191725</c:v>
                </c:pt>
                <c:pt idx="12">
                  <c:v>0.11002448786080291</c:v>
                </c:pt>
                <c:pt idx="13">
                  <c:v>7.4043114549772859E-2</c:v>
                </c:pt>
                <c:pt idx="14" formatCode="0.0000">
                  <c:v>4.4919845218879872E-2</c:v>
                </c:pt>
                <c:pt idx="15" formatCode="0.0000">
                  <c:v>2.2564011566275764E-2</c:v>
                </c:pt>
                <c:pt idx="16" formatCode="0.0000">
                  <c:v>7.151843046605248E-3</c:v>
                </c:pt>
                <c:pt idx="17" formatCode="0.0000">
                  <c:v>5.2743141978448655E-4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61-4CF8-9F70-163DA63FE6B5}"/>
            </c:ext>
          </c:extLst>
        </c:ser>
        <c:ser>
          <c:idx val="2"/>
          <c:order val="1"/>
          <c:tx>
            <c:strRef>
              <c:f>Graphs!$AB$6:$AB$8</c:f>
              <c:strCache>
                <c:ptCount val="3"/>
                <c:pt idx="0">
                  <c:v>^2.8 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marker>
            <c:symbol val="diamond"/>
            <c:size val="7"/>
            <c:spPr>
              <a:noFill/>
              <a:ln w="15875"/>
            </c:spPr>
          </c:marker>
          <c:xVal>
            <c:numRef>
              <c:f>Graphs!$J$9:$J$26</c:f>
              <c:numCache>
                <c:formatCode>0%</c:formatCode>
                <c:ptCount val="1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0.99</c:v>
                </c:pt>
              </c:numCache>
            </c:numRef>
          </c:xVal>
          <c:yVal>
            <c:numRef>
              <c:f>Graphs!$AB$9:$AB$26</c:f>
              <c:numCache>
                <c:formatCode>0.000</c:formatCode>
                <c:ptCount val="18"/>
                <c:pt idx="0">
                  <c:v>1.2285727002508975</c:v>
                </c:pt>
                <c:pt idx="1">
                  <c:v>1</c:v>
                </c:pt>
                <c:pt idx="2">
                  <c:v>0.80297009223088878</c:v>
                </c:pt>
                <c:pt idx="3">
                  <c:v>0.63451901063857663</c:v>
                </c:pt>
                <c:pt idx="4">
                  <c:v>0.49239587966542625</c:v>
                </c:pt>
                <c:pt idx="5">
                  <c:v>0.37439725508592314</c:v>
                </c:pt>
                <c:pt idx="6">
                  <c:v>0.27818750577704343</c:v>
                </c:pt>
                <c:pt idx="7">
                  <c:v>0.20130211652593827</c:v>
                </c:pt>
                <c:pt idx="8">
                  <c:v>0.14121871906964825</c:v>
                </c:pt>
                <c:pt idx="9">
                  <c:v>9.5444335732064525E-2</c:v>
                </c:pt>
                <c:pt idx="10">
                  <c:v>6.1594612558242119E-2</c:v>
                </c:pt>
                <c:pt idx="11">
                  <c:v>3.745466285739827E-2</c:v>
                </c:pt>
                <c:pt idx="12">
                  <c:v>2.1018725211347827E-2</c:v>
                </c:pt>
                <c:pt idx="13">
                  <c:v>1.0509890411874811E-2</c:v>
                </c:pt>
                <c:pt idx="14" formatCode="0.0000">
                  <c:v>4.3829542706617149E-3</c:v>
                </c:pt>
                <c:pt idx="15" formatCode="0.0000">
                  <c:v>1.31364660851186E-3</c:v>
                </c:pt>
                <c:pt idx="16" formatCode="0.0000">
                  <c:v>1.758860744482002E-4</c:v>
                </c:pt>
                <c:pt idx="17" formatCode="0.0000">
                  <c:v>1.8356526095224891E-6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61-4CF8-9F70-163DA63FE6B5}"/>
            </c:ext>
          </c:extLst>
        </c:ser>
        <c:ser>
          <c:idx val="1"/>
          <c:order val="3"/>
          <c:tx>
            <c:strRef>
              <c:f>Graphs!$Y$44:$Y$46</c:f>
              <c:strCache>
                <c:ptCount val="3"/>
                <c:pt idx="0">
                  <c:v>Linear Life</c:v>
                </c:pt>
                <c:pt idx="1">
                  <c:v>Expectancy</c:v>
                </c:pt>
                <c:pt idx="2">
                  <c:v>Muliplier Fit</c:v>
                </c:pt>
              </c:strCache>
            </c:strRef>
          </c:tx>
          <c:spPr>
            <a:ln w="19050"/>
          </c:spPr>
          <c:marker>
            <c:spPr>
              <a:noFill/>
            </c:spPr>
          </c:marker>
          <c:xVal>
            <c:numRef>
              <c:f>Graphs!$N$47:$N$60</c:f>
              <c:numCache>
                <c:formatCode>0%</c:formatCode>
                <c:ptCount val="14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</c:numCache>
            </c:numRef>
          </c:xVal>
          <c:yVal>
            <c:numRef>
              <c:f>Graphs!$Y$47:$Y$60</c:f>
              <c:numCache>
                <c:formatCode>General</c:formatCode>
                <c:ptCount val="14"/>
                <c:pt idx="0">
                  <c:v>1.1931298733315503</c:v>
                </c:pt>
                <c:pt idx="1">
                  <c:v>0.84417116737638498</c:v>
                </c:pt>
                <c:pt idx="2">
                  <c:v>0.59727358752636184</c:v>
                </c:pt>
                <c:pt idx="3">
                  <c:v>0.42258697304874326</c:v>
                </c:pt>
                <c:pt idx="4">
                  <c:v>0.29899154009152834</c:v>
                </c:pt>
                <c:pt idx="5">
                  <c:v>0.21154447900123194</c:v>
                </c:pt>
                <c:pt idx="6">
                  <c:v>0.14967335390895445</c:v>
                </c:pt>
                <c:pt idx="7">
                  <c:v>0.10589788481421282</c:v>
                </c:pt>
                <c:pt idx="8">
                  <c:v>7.4925574360723821E-2</c:v>
                </c:pt>
                <c:pt idx="9">
                  <c:v>5.3011839690030302E-2</c:v>
                </c:pt>
                <c:pt idx="10">
                  <c:v>3.7507288683456798E-2</c:v>
                </c:pt>
                <c:pt idx="11">
                  <c:v>2.6537405843863472E-2</c:v>
                </c:pt>
                <c:pt idx="12">
                  <c:v>1.8775921524621791E-2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C61-4CF8-9F70-163DA63F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7552"/>
        <c:axId val="175142400"/>
      </c:scatterChart>
      <c:valAx>
        <c:axId val="175127552"/>
        <c:scaling>
          <c:orientation val="minMax"/>
          <c:max val="0.95000000000000007"/>
          <c:min val="0.1500000000000000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Voltage Reversal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75142400"/>
        <c:crossesAt val="1.0000000000000002E-4"/>
        <c:crossBetween val="midCat"/>
        <c:majorUnit val="0.1"/>
        <c:minorUnit val="5.000000000000001E-2"/>
      </c:valAx>
      <c:valAx>
        <c:axId val="175142400"/>
        <c:scaling>
          <c:logBase val="10"/>
          <c:orientation val="minMax"/>
          <c:max val="1"/>
          <c:min val="1.0000000000000002E-3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Life</a:t>
                </a:r>
                <a:r>
                  <a:rPr lang="de-CH" baseline="0"/>
                  <a:t> Expectancy Multipllier</a:t>
                </a:r>
                <a:endParaRPr lang="de-CH"/>
              </a:p>
            </c:rich>
          </c:tx>
          <c:overlay val="0"/>
        </c:title>
        <c:numFmt formatCode="#,##0.000" sourceLinked="0"/>
        <c:majorTickMark val="out"/>
        <c:minorTickMark val="none"/>
        <c:tickLblPos val="nextTo"/>
        <c:crossAx val="175127552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9058167763026112E-2"/>
          <c:y val="1.462523132624745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Graphs!$X$44:$X$46</c:f>
              <c:strCache>
                <c:ptCount val="3"/>
                <c:pt idx="0">
                  <c:v>Log of Life</c:v>
                </c:pt>
                <c:pt idx="1">
                  <c:v>Expectancy</c:v>
                </c:pt>
                <c:pt idx="2">
                  <c:v>Muliplier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227657987243752"/>
                  <c:y val="-0.10004886593038927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Graphs!$N$47:$N$60</c:f>
              <c:numCache>
                <c:formatCode>0%</c:formatCode>
                <c:ptCount val="14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</c:numCache>
            </c:numRef>
          </c:xVal>
          <c:yVal>
            <c:numRef>
              <c:f>Graphs!$X$47:$X$59</c:f>
              <c:numCache>
                <c:formatCode>General</c:formatCode>
                <c:ptCount val="13"/>
                <c:pt idx="0">
                  <c:v>0</c:v>
                </c:pt>
                <c:pt idx="1">
                  <c:v>-0.3285040669720361</c:v>
                </c:pt>
                <c:pt idx="2">
                  <c:v>-0.60696948431889286</c:v>
                </c:pt>
                <c:pt idx="3">
                  <c:v>-0.916290731874155</c:v>
                </c:pt>
                <c:pt idx="4">
                  <c:v>-1.2378743560016174</c:v>
                </c:pt>
                <c:pt idx="5">
                  <c:v>-1.5141277326297755</c:v>
                </c:pt>
                <c:pt idx="6">
                  <c:v>-1.8325814637483102</c:v>
                </c:pt>
                <c:pt idx="7">
                  <c:v>-2.2072749131897207</c:v>
                </c:pt>
                <c:pt idx="8">
                  <c:v>-2.5010360317178839</c:v>
                </c:pt>
                <c:pt idx="9">
                  <c:v>-2.864704011147587</c:v>
                </c:pt>
                <c:pt idx="10">
                  <c:v>-3.2701691192557512</c:v>
                </c:pt>
                <c:pt idx="11">
                  <c:v>-3.7297014486341915</c:v>
                </c:pt>
                <c:pt idx="12">
                  <c:v>-4.3050655935377531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AB-414F-B330-687F8445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66208"/>
        <c:axId val="175167744"/>
      </c:scatterChart>
      <c:valAx>
        <c:axId val="175166208"/>
        <c:scaling>
          <c:orientation val="minMax"/>
        </c:scaling>
        <c:delete val="0"/>
        <c:axPos val="b"/>
        <c:majorGridlines/>
        <c:minorGridlines/>
        <c:numFmt formatCode="0%" sourceLinked="1"/>
        <c:majorTickMark val="out"/>
        <c:minorTickMark val="none"/>
        <c:tickLblPos val="nextTo"/>
        <c:crossAx val="175167744"/>
        <c:crossesAt val="-5"/>
        <c:crossBetween val="midCat"/>
      </c:valAx>
      <c:valAx>
        <c:axId val="17516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166208"/>
        <c:crossesAt val="-5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2</xdr:row>
      <xdr:rowOff>23812</xdr:rowOff>
    </xdr:from>
    <xdr:to>
      <xdr:col>8</xdr:col>
      <xdr:colOff>638174</xdr:colOff>
      <xdr:row>29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76201</xdr:colOff>
      <xdr:row>1</xdr:row>
      <xdr:rowOff>166687</xdr:rowOff>
    </xdr:from>
    <xdr:to>
      <xdr:col>19</xdr:col>
      <xdr:colOff>704850</xdr:colOff>
      <xdr:row>28</xdr:row>
      <xdr:rowOff>180975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314325</xdr:colOff>
      <xdr:row>39</xdr:row>
      <xdr:rowOff>28574</xdr:rowOff>
    </xdr:from>
    <xdr:to>
      <xdr:col>12</xdr:col>
      <xdr:colOff>389792</xdr:colOff>
      <xdr:row>114</xdr:row>
      <xdr:rowOff>18668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7667624"/>
          <a:ext cx="9219467" cy="1438236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15</xdr:col>
      <xdr:colOff>109536</xdr:colOff>
      <xdr:row>42</xdr:row>
      <xdr:rowOff>9524</xdr:rowOff>
    </xdr:from>
    <xdr:to>
      <xdr:col>22</xdr:col>
      <xdr:colOff>438149</xdr:colOff>
      <xdr:row>69</xdr:row>
      <xdr:rowOff>171449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119061</xdr:colOff>
      <xdr:row>42</xdr:row>
      <xdr:rowOff>95251</xdr:rowOff>
    </xdr:from>
    <xdr:to>
      <xdr:col>33</xdr:col>
      <xdr:colOff>561975</xdr:colOff>
      <xdr:row>69</xdr:row>
      <xdr:rowOff>161925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0</xdr:colOff>
      <xdr:row>87</xdr:row>
      <xdr:rowOff>0</xdr:rowOff>
    </xdr:from>
    <xdr:to>
      <xdr:col>22</xdr:col>
      <xdr:colOff>142875</xdr:colOff>
      <xdr:row>97</xdr:row>
      <xdr:rowOff>114300</xdr:rowOff>
    </xdr:to>
    <xdr:pic>
      <xdr:nvPicPr>
        <xdr:cNvPr id="7" name="Grafik 6" descr="Voltage Waveform Parameters 0215">
          <a:extLst>
            <a:ext uri="{FF2B5EF4-FFF2-40B4-BE49-F238E27FC236}">
              <a16:creationId xmlns:a16="http://schemas.microsoft.com/office/drawing/2014/main" id="{658A90D9-63DB-4C3F-A287-183DB5E3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6992600"/>
          <a:ext cx="714375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ogle.com/url?sa=t&amp;rct=j&amp;q=&amp;esrc=s&amp;source=web&amp;cd=2&amp;cad=rja&amp;uact=8&amp;ved=2ahUKEwjfr-WAxc7fAhWBKVAKHW9wBMgQFjABegQIBRAC&amp;url=http%3A%2F%2Fwww.ga.com%2Fwebsites%2Fga%2Fimages%2Fproducts%2Fep%2Fcapacitors%2Fpdf%2Fcap-specs%2F37667.pdf&amp;usg=AOvVaw2gMK8PHNsMEUaqAPmDVPr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ga.com/series-se-sse-high-voltage-1000-pps-capacitors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www.ga.com/capacitor-product-guide" TargetMode="External"/><Relationship Id="rId1" Type="http://schemas.openxmlformats.org/officeDocument/2006/relationships/hyperlink" Target="http://www.ga.com/series-s-ss-high-voltage-1-pps-capacitors" TargetMode="External"/><Relationship Id="rId6" Type="http://schemas.openxmlformats.org/officeDocument/2006/relationships/hyperlink" Target="https://www.google.com/url?sa=t&amp;rct=j&amp;q=&amp;esrc=s&amp;source=web&amp;cd=5&amp;cad=rja&amp;uact=8&amp;ved=2ahUKEwiLz_qf087fAhWKbFAKHf-WC44QFjAEegQIAxAC&amp;url=http%3A%2F%2Fmanuals.chudov.com%2FMaxwell%2Fvoltage-reversal.pdf&amp;usg=AOvVaw0Tb4kngjpLkXGUoroep-It" TargetMode="External"/><Relationship Id="rId5" Type="http://schemas.openxmlformats.org/officeDocument/2006/relationships/hyperlink" Target="http://www.ga.com/standard-capacitor-products-information-request-form" TargetMode="External"/><Relationship Id="rId4" Type="http://schemas.openxmlformats.org/officeDocument/2006/relationships/hyperlink" Target="http://www.ga.com/series-de-high-voltage-pulse-discharge-capaci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workbookViewId="0">
      <selection activeCell="G7" sqref="G7"/>
    </sheetView>
  </sheetViews>
  <sheetFormatPr baseColWidth="10" defaultRowHeight="15" x14ac:dyDescent="0.25"/>
  <cols>
    <col min="3" max="3" width="6.7109375" customWidth="1"/>
    <col min="4" max="4" width="12.28515625" customWidth="1"/>
    <col min="7" max="7" width="6.140625" customWidth="1"/>
    <col min="8" max="8" width="2.140625" customWidth="1"/>
    <col min="9" max="9" width="3.7109375" customWidth="1"/>
    <col min="10" max="10" width="7" customWidth="1"/>
    <col min="11" max="11" width="11.42578125" customWidth="1"/>
    <col min="12" max="12" width="7.28515625" customWidth="1"/>
    <col min="13" max="13" width="6" customWidth="1"/>
    <col min="14" max="14" width="5.140625" customWidth="1"/>
    <col min="16" max="16" width="6.5703125" customWidth="1"/>
  </cols>
  <sheetData>
    <row r="1" spans="1:11" ht="23.25" x14ac:dyDescent="0.35">
      <c r="A1" s="1" t="s">
        <v>0</v>
      </c>
      <c r="I1" s="79" t="s">
        <v>123</v>
      </c>
    </row>
    <row r="3" spans="1:11" x14ac:dyDescent="0.25">
      <c r="A3" t="s">
        <v>44</v>
      </c>
    </row>
    <row r="4" spans="1:11" x14ac:dyDescent="0.25">
      <c r="A4" t="s">
        <v>45</v>
      </c>
    </row>
    <row r="5" spans="1:11" x14ac:dyDescent="0.25">
      <c r="A5" t="s">
        <v>46</v>
      </c>
    </row>
    <row r="7" spans="1:11" x14ac:dyDescent="0.25">
      <c r="A7" s="78" t="str">
        <f>CONCATENATE("Lx = Lref * (Qref/Qx)^",TEXT(G7,"##.0##")," * (Vref/Vx)^7.5")</f>
        <v>Lx = Lref * (Qref/Qx)^1.6 * (Vref/Vx)^7.5</v>
      </c>
      <c r="F7" s="11" t="s">
        <v>120</v>
      </c>
      <c r="G7" s="20">
        <v>1.6</v>
      </c>
      <c r="K7" s="20" t="s">
        <v>60</v>
      </c>
    </row>
    <row r="8" spans="1:11" x14ac:dyDescent="0.25">
      <c r="E8" t="s">
        <v>122</v>
      </c>
    </row>
    <row r="9" spans="1:11" x14ac:dyDescent="0.25">
      <c r="A9" t="s">
        <v>2</v>
      </c>
      <c r="E9" t="s">
        <v>121</v>
      </c>
      <c r="K9" s="19" t="s">
        <v>59</v>
      </c>
    </row>
    <row r="10" spans="1:11" x14ac:dyDescent="0.25">
      <c r="A10" t="s">
        <v>3</v>
      </c>
    </row>
    <row r="11" spans="1:11" x14ac:dyDescent="0.25">
      <c r="A11" t="s">
        <v>4</v>
      </c>
    </row>
    <row r="12" spans="1:11" x14ac:dyDescent="0.25">
      <c r="A12" t="s">
        <v>5</v>
      </c>
    </row>
    <row r="13" spans="1:11" x14ac:dyDescent="0.25">
      <c r="A13" t="s">
        <v>6</v>
      </c>
    </row>
    <row r="14" spans="1:11" x14ac:dyDescent="0.25">
      <c r="A14" t="s">
        <v>7</v>
      </c>
    </row>
    <row r="16" spans="1:11" x14ac:dyDescent="0.25">
      <c r="A16" t="s">
        <v>77</v>
      </c>
    </row>
    <row r="18" spans="1:17" x14ac:dyDescent="0.25">
      <c r="A18" t="s">
        <v>9</v>
      </c>
    </row>
    <row r="20" spans="1:17" ht="18" x14ac:dyDescent="0.25">
      <c r="A20" s="2" t="s">
        <v>10</v>
      </c>
    </row>
    <row r="21" spans="1:17" x14ac:dyDescent="0.25">
      <c r="D21" s="11" t="s">
        <v>50</v>
      </c>
      <c r="F21" s="10" t="s">
        <v>32</v>
      </c>
      <c r="J21" s="11" t="s">
        <v>33</v>
      </c>
      <c r="L21" s="11" t="s">
        <v>36</v>
      </c>
      <c r="N21" s="11"/>
      <c r="P21" s="11" t="s">
        <v>53</v>
      </c>
    </row>
    <row r="22" spans="1:17" x14ac:dyDescent="0.25">
      <c r="A22" t="s">
        <v>24</v>
      </c>
      <c r="D22" s="6">
        <v>31235</v>
      </c>
      <c r="E22" t="s">
        <v>25</v>
      </c>
      <c r="F22" s="7">
        <v>10000</v>
      </c>
      <c r="G22" t="s">
        <v>26</v>
      </c>
      <c r="J22" s="6">
        <v>200</v>
      </c>
      <c r="K22" t="s">
        <v>52</v>
      </c>
      <c r="L22" s="8">
        <v>0.2</v>
      </c>
      <c r="M22" t="s">
        <v>27</v>
      </c>
      <c r="N22" s="9">
        <f>L22</f>
        <v>0.2</v>
      </c>
      <c r="O22" t="s">
        <v>28</v>
      </c>
      <c r="P22" s="12">
        <f>SQRT(1+1/(2/PI()*LN(L22))^2)</f>
        <v>1.3973395133391762</v>
      </c>
      <c r="Q22" t="s">
        <v>96</v>
      </c>
    </row>
    <row r="23" spans="1:17" x14ac:dyDescent="0.25">
      <c r="E23" s="10" t="s">
        <v>37</v>
      </c>
      <c r="J23" s="10" t="s">
        <v>35</v>
      </c>
      <c r="M23" s="10" t="s">
        <v>34</v>
      </c>
    </row>
    <row r="24" spans="1:17" x14ac:dyDescent="0.25">
      <c r="A24" t="s">
        <v>29</v>
      </c>
      <c r="E24" s="8">
        <v>0.9</v>
      </c>
      <c r="F24" t="s">
        <v>48</v>
      </c>
      <c r="J24" s="12">
        <f>SQRT(1+1/(2/PI()*LN(E24))^2)</f>
        <v>14.942275653567691</v>
      </c>
      <c r="K24" t="s">
        <v>30</v>
      </c>
      <c r="M24" s="6">
        <v>30</v>
      </c>
      <c r="N24" t="s">
        <v>31</v>
      </c>
    </row>
    <row r="26" spans="1:17" x14ac:dyDescent="0.25">
      <c r="E26" s="76" t="str">
        <f>CONCATENATE("Lx = Lref * (Qref/Qx)^",TEXT(G7,"##.0##")," * (Vref/Vx)^7.5")</f>
        <v>Lx = Lref * (Qref/Qx)^1.6 * (Vref/Vx)^7.5</v>
      </c>
      <c r="F26" s="13">
        <f>F$22 * (P22/J24)^$G$7 * (J22/M24)^7.5</f>
        <v>340982327.40547591</v>
      </c>
      <c r="G26" t="s">
        <v>38</v>
      </c>
    </row>
    <row r="28" spans="1:17" x14ac:dyDescent="0.25">
      <c r="A28" t="s">
        <v>39</v>
      </c>
      <c r="C28" s="6">
        <v>28</v>
      </c>
      <c r="D28" t="s">
        <v>42</v>
      </c>
      <c r="G28" s="14">
        <f>M24</f>
        <v>30</v>
      </c>
      <c r="H28" s="15" t="s">
        <v>40</v>
      </c>
      <c r="I28" s="14">
        <f>C28</f>
        <v>28</v>
      </c>
      <c r="J28" t="s">
        <v>43</v>
      </c>
      <c r="K28" s="12">
        <f>(G28/I28)^7.5</f>
        <v>1.6777381317994138</v>
      </c>
      <c r="L28" t="s">
        <v>41</v>
      </c>
    </row>
    <row r="30" spans="1:17" x14ac:dyDescent="0.25">
      <c r="A30" t="s">
        <v>47</v>
      </c>
      <c r="C30" s="6">
        <v>200</v>
      </c>
      <c r="D30" t="s">
        <v>51</v>
      </c>
      <c r="E30" s="14">
        <f>M24</f>
        <v>30</v>
      </c>
      <c r="F30" t="s">
        <v>49</v>
      </c>
      <c r="L30" s="16">
        <f>F26/(C30*60)</f>
        <v>28415.193950456327</v>
      </c>
      <c r="M30" t="s">
        <v>78</v>
      </c>
      <c r="P30" s="14">
        <f>L30/60</f>
        <v>473.58656584093876</v>
      </c>
      <c r="Q30" t="s">
        <v>57</v>
      </c>
    </row>
    <row r="32" spans="1:17" x14ac:dyDescent="0.25">
      <c r="A32" t="s">
        <v>54</v>
      </c>
      <c r="C32" s="14">
        <f>C28</f>
        <v>28</v>
      </c>
      <c r="D32" t="s">
        <v>55</v>
      </c>
      <c r="G32" s="14">
        <f>L30*K28</f>
        <v>47673.254413156603</v>
      </c>
      <c r="I32" t="s">
        <v>56</v>
      </c>
      <c r="K32" s="17">
        <f>G32/60</f>
        <v>794.55424021927672</v>
      </c>
      <c r="L32" t="s">
        <v>57</v>
      </c>
    </row>
    <row r="33" spans="1:15" x14ac:dyDescent="0.25">
      <c r="A33" t="s">
        <v>39</v>
      </c>
      <c r="C33" s="6">
        <v>25</v>
      </c>
      <c r="D33" t="s">
        <v>42</v>
      </c>
      <c r="G33" s="14">
        <f>M24</f>
        <v>30</v>
      </c>
      <c r="H33" s="15" t="s">
        <v>40</v>
      </c>
      <c r="I33" s="14">
        <f>C33</f>
        <v>25</v>
      </c>
      <c r="J33" t="s">
        <v>43</v>
      </c>
      <c r="K33" s="12">
        <f>(G33/I33)^7.5</f>
        <v>3.9251779035588137</v>
      </c>
      <c r="L33" t="s">
        <v>41</v>
      </c>
    </row>
    <row r="34" spans="1:15" x14ac:dyDescent="0.25">
      <c r="A34" t="s">
        <v>54</v>
      </c>
      <c r="C34" s="14">
        <f>C33</f>
        <v>25</v>
      </c>
      <c r="D34" t="s">
        <v>58</v>
      </c>
      <c r="K34" s="16">
        <f>L30*K33/60</f>
        <v>1858.9115236611542</v>
      </c>
      <c r="L34" t="s">
        <v>71</v>
      </c>
      <c r="N34" s="21"/>
      <c r="O34" s="21"/>
    </row>
    <row r="35" spans="1:15" x14ac:dyDescent="0.25">
      <c r="A35" s="21" t="s">
        <v>73</v>
      </c>
      <c r="C35" s="6">
        <v>10</v>
      </c>
      <c r="D35" t="s">
        <v>74</v>
      </c>
      <c r="E35" s="21"/>
      <c r="F35" s="21"/>
      <c r="G35" s="12">
        <f>J24</f>
        <v>14.942275653567691</v>
      </c>
      <c r="H35" s="15" t="s">
        <v>40</v>
      </c>
      <c r="I35" s="14">
        <f>C35</f>
        <v>10</v>
      </c>
      <c r="J35" s="77" t="str">
        <f>CONCATENATE(" ) ^",TEXT(G7,"##.0##")," some")</f>
        <v xml:space="preserve"> ) ^1.6 some</v>
      </c>
      <c r="K35" s="22"/>
      <c r="L35" s="24">
        <f>(G35/I35)^G7-1</f>
        <v>0.90137067010552441</v>
      </c>
      <c r="M35" s="18" t="s">
        <v>100</v>
      </c>
    </row>
    <row r="36" spans="1:15" x14ac:dyDescent="0.25">
      <c r="A36" t="s">
        <v>75</v>
      </c>
      <c r="C36" s="23">
        <f>EXP(-PI()/2*SQRT(1/(C35^2-1)))</f>
        <v>0.8539599605881244</v>
      </c>
      <c r="D36" t="s">
        <v>76</v>
      </c>
    </row>
    <row r="38" spans="1:15" x14ac:dyDescent="0.25">
      <c r="A38" t="s">
        <v>15</v>
      </c>
    </row>
    <row r="39" spans="1:15" x14ac:dyDescent="0.25">
      <c r="A39" s="3"/>
    </row>
    <row r="40" spans="1:15" x14ac:dyDescent="0.25">
      <c r="A40" s="3" t="s">
        <v>16</v>
      </c>
    </row>
    <row r="41" spans="1:15" x14ac:dyDescent="0.25">
      <c r="A41" s="3" t="s">
        <v>17</v>
      </c>
    </row>
    <row r="43" spans="1:15" x14ac:dyDescent="0.25">
      <c r="A43" t="s">
        <v>92</v>
      </c>
    </row>
    <row r="44" spans="1:15" x14ac:dyDescent="0.25">
      <c r="A44" t="s">
        <v>93</v>
      </c>
    </row>
    <row r="45" spans="1:15" x14ac:dyDescent="0.25">
      <c r="A45" t="s">
        <v>94</v>
      </c>
    </row>
    <row r="47" spans="1:15" ht="18" x14ac:dyDescent="0.25">
      <c r="A47" s="2" t="s">
        <v>18</v>
      </c>
    </row>
    <row r="49" spans="1:16" x14ac:dyDescent="0.25">
      <c r="A49" s="4" t="s">
        <v>19</v>
      </c>
    </row>
    <row r="51" spans="1:16" x14ac:dyDescent="0.25">
      <c r="A51" t="s">
        <v>20</v>
      </c>
    </row>
    <row r="53" spans="1:16" x14ac:dyDescent="0.25">
      <c r="A53" t="s">
        <v>21</v>
      </c>
      <c r="D53" s="18" t="s">
        <v>95</v>
      </c>
    </row>
    <row r="55" spans="1:16" x14ac:dyDescent="0.25">
      <c r="A55" t="s">
        <v>22</v>
      </c>
    </row>
    <row r="57" spans="1:16" x14ac:dyDescent="0.25">
      <c r="A57" t="s">
        <v>23</v>
      </c>
    </row>
    <row r="59" spans="1:1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5" t="s">
        <v>97</v>
      </c>
      <c r="E60" s="5" t="s">
        <v>98</v>
      </c>
    </row>
  </sheetData>
  <pageMargins left="0.39370078740157483" right="0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138DD-22FA-4B50-B626-F8E3E8423D52}">
          <x14:formula1>
            <xm:f>Graphs!$O$32:$O$35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0"/>
  <sheetViews>
    <sheetView workbookViewId="0">
      <selection activeCell="G7" sqref="G7"/>
    </sheetView>
  </sheetViews>
  <sheetFormatPr baseColWidth="10" defaultRowHeight="15" x14ac:dyDescent="0.25"/>
  <cols>
    <col min="3" max="3" width="6.7109375" customWidth="1"/>
    <col min="4" max="4" width="12.28515625" customWidth="1"/>
    <col min="7" max="7" width="6.140625" customWidth="1"/>
    <col min="8" max="8" width="2.140625" customWidth="1"/>
    <col min="9" max="9" width="3.7109375" customWidth="1"/>
    <col min="10" max="10" width="7" customWidth="1"/>
    <col min="11" max="11" width="11.42578125" customWidth="1"/>
    <col min="12" max="12" width="7.85546875" customWidth="1"/>
    <col min="13" max="13" width="6" customWidth="1"/>
    <col min="14" max="14" width="5.140625" customWidth="1"/>
    <col min="16" max="16" width="6.5703125" customWidth="1"/>
  </cols>
  <sheetData>
    <row r="1" spans="1:11" ht="23.25" x14ac:dyDescent="0.25">
      <c r="A1" s="1" t="s">
        <v>0</v>
      </c>
    </row>
    <row r="3" spans="1:11" x14ac:dyDescent="0.25">
      <c r="A3" t="s">
        <v>44</v>
      </c>
    </row>
    <row r="4" spans="1:11" x14ac:dyDescent="0.25">
      <c r="A4" t="s">
        <v>45</v>
      </c>
    </row>
    <row r="5" spans="1:11" x14ac:dyDescent="0.25">
      <c r="A5" t="s">
        <v>46</v>
      </c>
    </row>
    <row r="7" spans="1:11" x14ac:dyDescent="0.25">
      <c r="A7" s="78" t="str">
        <f>CONCATENATE("Lx = Lref * (Qref/Qx)^",TEXT(G7,"##.0##")," * (Vref/Vx)^7.5")</f>
        <v>Lx = Lref * (Qref/Qx)^2.8 * (Vref/Vx)^7.5</v>
      </c>
      <c r="F7" s="11" t="s">
        <v>120</v>
      </c>
      <c r="G7" s="20">
        <v>2.8</v>
      </c>
      <c r="K7" s="20" t="s">
        <v>60</v>
      </c>
    </row>
    <row r="8" spans="1:11" x14ac:dyDescent="0.25">
      <c r="E8" t="s">
        <v>122</v>
      </c>
    </row>
    <row r="9" spans="1:11" x14ac:dyDescent="0.25">
      <c r="A9" t="s">
        <v>2</v>
      </c>
      <c r="E9" t="s">
        <v>121</v>
      </c>
      <c r="K9" s="19" t="s">
        <v>59</v>
      </c>
    </row>
    <row r="10" spans="1:11" x14ac:dyDescent="0.25">
      <c r="A10" t="s">
        <v>3</v>
      </c>
    </row>
    <row r="11" spans="1:11" x14ac:dyDescent="0.25">
      <c r="A11" t="s">
        <v>4</v>
      </c>
    </row>
    <row r="12" spans="1:11" x14ac:dyDescent="0.25">
      <c r="A12" t="s">
        <v>5</v>
      </c>
    </row>
    <row r="13" spans="1:11" x14ac:dyDescent="0.25">
      <c r="A13" t="s">
        <v>6</v>
      </c>
    </row>
    <row r="14" spans="1:11" x14ac:dyDescent="0.25">
      <c r="A14" t="s">
        <v>7</v>
      </c>
    </row>
    <row r="16" spans="1:11" x14ac:dyDescent="0.25">
      <c r="A16" t="s">
        <v>77</v>
      </c>
    </row>
    <row r="18" spans="1:17" x14ac:dyDescent="0.25">
      <c r="A18" t="s">
        <v>9</v>
      </c>
    </row>
    <row r="20" spans="1:17" ht="18" x14ac:dyDescent="0.25">
      <c r="A20" s="2" t="s">
        <v>10</v>
      </c>
    </row>
    <row r="21" spans="1:17" x14ac:dyDescent="0.25">
      <c r="D21" s="11" t="s">
        <v>50</v>
      </c>
      <c r="F21" s="10" t="s">
        <v>32</v>
      </c>
      <c r="J21" s="11" t="s">
        <v>33</v>
      </c>
      <c r="L21" s="11" t="s">
        <v>36</v>
      </c>
      <c r="N21" s="11"/>
      <c r="P21" s="11" t="s">
        <v>53</v>
      </c>
    </row>
    <row r="22" spans="1:17" x14ac:dyDescent="0.25">
      <c r="A22" t="s">
        <v>24</v>
      </c>
      <c r="D22" s="6" t="s">
        <v>70</v>
      </c>
      <c r="E22" t="s">
        <v>25</v>
      </c>
      <c r="F22" s="7">
        <v>25000000000</v>
      </c>
      <c r="G22" t="s">
        <v>26</v>
      </c>
      <c r="J22" s="6">
        <v>50</v>
      </c>
      <c r="K22" t="s">
        <v>52</v>
      </c>
      <c r="L22" s="8">
        <v>0.2</v>
      </c>
      <c r="M22" t="s">
        <v>27</v>
      </c>
      <c r="N22" s="9">
        <f>L22</f>
        <v>0.2</v>
      </c>
      <c r="O22" t="s">
        <v>28</v>
      </c>
      <c r="P22" s="12">
        <f>SQRT(1+1/(2/PI()*LN(L22))^2)</f>
        <v>1.3973395133391762</v>
      </c>
      <c r="Q22" t="s">
        <v>96</v>
      </c>
    </row>
    <row r="23" spans="1:17" x14ac:dyDescent="0.25">
      <c r="E23" s="10" t="s">
        <v>37</v>
      </c>
      <c r="J23" s="10" t="s">
        <v>35</v>
      </c>
      <c r="M23" s="10" t="s">
        <v>34</v>
      </c>
    </row>
    <row r="24" spans="1:17" x14ac:dyDescent="0.25">
      <c r="A24" t="s">
        <v>29</v>
      </c>
      <c r="E24" s="8">
        <v>0.9</v>
      </c>
      <c r="F24" t="s">
        <v>48</v>
      </c>
      <c r="J24" s="12">
        <f>SQRT(1+1/(2/PI()*LN(E24))^2)</f>
        <v>14.942275653567691</v>
      </c>
      <c r="K24" t="s">
        <v>30</v>
      </c>
      <c r="M24" s="6">
        <v>35</v>
      </c>
      <c r="N24" t="s">
        <v>31</v>
      </c>
    </row>
    <row r="26" spans="1:17" x14ac:dyDescent="0.25">
      <c r="E26" s="76" t="str">
        <f>CONCATENATE("Lx = Lref * (Qref/Qx)^",TEXT(G7,"##.0##")," * (Vref/Vx)^7.5")</f>
        <v>Lx = Lref * (Qref/Qx)^2.8 * (Vref/Vx)^7.5</v>
      </c>
      <c r="F26" s="13">
        <f>F$22 * (P22/J24)^$G$7 * (J22/M24)^7.5</f>
        <v>476632066.88918281</v>
      </c>
      <c r="G26" t="s">
        <v>38</v>
      </c>
    </row>
    <row r="28" spans="1:17" x14ac:dyDescent="0.25">
      <c r="A28" t="s">
        <v>39</v>
      </c>
      <c r="C28" s="6">
        <v>30</v>
      </c>
      <c r="D28" t="s">
        <v>42</v>
      </c>
      <c r="G28" s="14">
        <f>M24</f>
        <v>35</v>
      </c>
      <c r="H28" s="15" t="s">
        <v>40</v>
      </c>
      <c r="I28" s="14">
        <f>C28</f>
        <v>30</v>
      </c>
      <c r="J28" t="s">
        <v>43</v>
      </c>
      <c r="K28" s="12">
        <f>(G28/I28)^7.5</f>
        <v>3.1776124048526011</v>
      </c>
      <c r="L28" t="s">
        <v>41</v>
      </c>
    </row>
    <row r="30" spans="1:17" x14ac:dyDescent="0.25">
      <c r="A30" t="s">
        <v>47</v>
      </c>
      <c r="C30" s="6">
        <v>200</v>
      </c>
      <c r="D30" t="s">
        <v>51</v>
      </c>
      <c r="E30" s="14">
        <f>M24</f>
        <v>35</v>
      </c>
      <c r="F30" t="s">
        <v>49</v>
      </c>
      <c r="L30" s="16">
        <f>F26/(C30*60)</f>
        <v>39719.338907431898</v>
      </c>
      <c r="M30" t="s">
        <v>78</v>
      </c>
      <c r="P30" s="14">
        <f>L30/60</f>
        <v>661.98898179053162</v>
      </c>
      <c r="Q30" t="s">
        <v>57</v>
      </c>
    </row>
    <row r="32" spans="1:17" x14ac:dyDescent="0.25">
      <c r="A32" t="s">
        <v>54</v>
      </c>
      <c r="C32" s="14">
        <f>C28</f>
        <v>30</v>
      </c>
      <c r="D32" t="s">
        <v>55</v>
      </c>
      <c r="G32" s="14">
        <f>L30*K28</f>
        <v>126212.66402480016</v>
      </c>
      <c r="I32" t="s">
        <v>56</v>
      </c>
      <c r="K32" s="17">
        <f>G32/60</f>
        <v>2103.544400413336</v>
      </c>
      <c r="L32" t="s">
        <v>57</v>
      </c>
    </row>
    <row r="33" spans="1:15" x14ac:dyDescent="0.25">
      <c r="A33" t="s">
        <v>39</v>
      </c>
      <c r="C33" s="6">
        <v>25</v>
      </c>
      <c r="D33" t="s">
        <v>42</v>
      </c>
      <c r="G33" s="14">
        <f>M24</f>
        <v>35</v>
      </c>
      <c r="H33" s="15" t="s">
        <v>40</v>
      </c>
      <c r="I33" s="14">
        <f>C33</f>
        <v>25</v>
      </c>
      <c r="J33" t="s">
        <v>43</v>
      </c>
      <c r="K33" s="12">
        <f>(G33/I33)^7.5</f>
        <v>12.472693997601807</v>
      </c>
      <c r="L33" t="s">
        <v>41</v>
      </c>
    </row>
    <row r="34" spans="1:15" x14ac:dyDescent="0.25">
      <c r="A34" t="s">
        <v>54</v>
      </c>
      <c r="C34" s="14">
        <f>C33</f>
        <v>25</v>
      </c>
      <c r="D34" t="s">
        <v>58</v>
      </c>
      <c r="K34" s="16">
        <f>L30*K33/60</f>
        <v>8256.785999657297</v>
      </c>
      <c r="L34" t="s">
        <v>72</v>
      </c>
      <c r="N34" s="21"/>
      <c r="O34" s="21"/>
    </row>
    <row r="35" spans="1:15" x14ac:dyDescent="0.25">
      <c r="A35" s="21" t="s">
        <v>73</v>
      </c>
      <c r="C35" s="6">
        <v>10</v>
      </c>
      <c r="D35" t="s">
        <v>74</v>
      </c>
      <c r="E35" s="21"/>
      <c r="F35" s="21"/>
      <c r="G35" s="12">
        <f>J24</f>
        <v>14.942275653567691</v>
      </c>
      <c r="H35" s="15" t="s">
        <v>40</v>
      </c>
      <c r="I35" s="14">
        <f>C35</f>
        <v>10</v>
      </c>
      <c r="J35" s="77" t="str">
        <f>CONCATENATE(" ) ^",TEXT(G7,"##.0##")," some")</f>
        <v xml:space="preserve"> ) ^2.8 some</v>
      </c>
      <c r="K35" s="22"/>
      <c r="L35" s="24">
        <f>(G35/I35)^G7-1</f>
        <v>2.0786965364411154</v>
      </c>
      <c r="M35" s="18" t="s">
        <v>100</v>
      </c>
      <c r="N35" s="21"/>
      <c r="O35" s="21"/>
    </row>
    <row r="36" spans="1:15" x14ac:dyDescent="0.25">
      <c r="A36" t="s">
        <v>75</v>
      </c>
      <c r="C36" s="23">
        <f>EXP(-PI()/2*SQRT(1/(C35^2-1)))</f>
        <v>0.8539599605881244</v>
      </c>
      <c r="D36" t="s">
        <v>76</v>
      </c>
    </row>
    <row r="38" spans="1:15" x14ac:dyDescent="0.25">
      <c r="A38" t="s">
        <v>15</v>
      </c>
    </row>
    <row r="39" spans="1:15" x14ac:dyDescent="0.25">
      <c r="A39" s="3"/>
    </row>
    <row r="40" spans="1:15" x14ac:dyDescent="0.25">
      <c r="A40" s="3" t="s">
        <v>16</v>
      </c>
    </row>
    <row r="41" spans="1:15" x14ac:dyDescent="0.25">
      <c r="A41" s="3" t="s">
        <v>17</v>
      </c>
    </row>
    <row r="43" spans="1:15" x14ac:dyDescent="0.25">
      <c r="A43" t="s">
        <v>92</v>
      </c>
    </row>
    <row r="44" spans="1:15" x14ac:dyDescent="0.25">
      <c r="A44" t="s">
        <v>93</v>
      </c>
    </row>
    <row r="45" spans="1:15" x14ac:dyDescent="0.25">
      <c r="A45" t="s">
        <v>94</v>
      </c>
    </row>
    <row r="47" spans="1:15" ht="18" x14ac:dyDescent="0.25">
      <c r="A47" s="2" t="s">
        <v>18</v>
      </c>
    </row>
    <row r="49" spans="1:16" x14ac:dyDescent="0.25">
      <c r="A49" s="4" t="s">
        <v>19</v>
      </c>
    </row>
    <row r="51" spans="1:16" x14ac:dyDescent="0.25">
      <c r="A51" t="s">
        <v>20</v>
      </c>
    </row>
    <row r="53" spans="1:16" x14ac:dyDescent="0.25">
      <c r="A53" t="s">
        <v>21</v>
      </c>
      <c r="D53" s="18" t="s">
        <v>95</v>
      </c>
    </row>
    <row r="55" spans="1:16" x14ac:dyDescent="0.25">
      <c r="A55" t="s">
        <v>22</v>
      </c>
    </row>
    <row r="57" spans="1:16" x14ac:dyDescent="0.25">
      <c r="A57" t="s">
        <v>23</v>
      </c>
    </row>
    <row r="59" spans="1:1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5" t="s">
        <v>97</v>
      </c>
      <c r="E60" s="5" t="s">
        <v>98</v>
      </c>
    </row>
  </sheetData>
  <pageMargins left="0.39370078740157483" right="0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9F886C-65F7-44DC-9DC6-CC4D5F392236}">
          <x14:formula1>
            <xm:f>Graphs!$O$32:$O$35</xm:f>
          </x14:formula1>
          <xm:sqref>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0"/>
  <sheetViews>
    <sheetView workbookViewId="0">
      <selection activeCell="G7" sqref="G7"/>
    </sheetView>
  </sheetViews>
  <sheetFormatPr baseColWidth="10" defaultRowHeight="15" x14ac:dyDescent="0.25"/>
  <cols>
    <col min="3" max="3" width="6.7109375" customWidth="1"/>
    <col min="4" max="4" width="12.28515625" customWidth="1"/>
    <col min="7" max="7" width="6.140625" customWidth="1"/>
    <col min="8" max="8" width="2.140625" customWidth="1"/>
    <col min="9" max="9" width="3.7109375" customWidth="1"/>
    <col min="10" max="10" width="7" customWidth="1"/>
    <col min="11" max="11" width="11.42578125" customWidth="1"/>
    <col min="12" max="12" width="7.85546875" customWidth="1"/>
    <col min="13" max="13" width="6" customWidth="1"/>
    <col min="14" max="14" width="5.140625" customWidth="1"/>
    <col min="16" max="16" width="6.5703125" customWidth="1"/>
  </cols>
  <sheetData>
    <row r="1" spans="1:11" ht="23.25" x14ac:dyDescent="0.35">
      <c r="A1" s="1" t="s">
        <v>0</v>
      </c>
      <c r="I1" s="79" t="s">
        <v>124</v>
      </c>
    </row>
    <row r="3" spans="1:11" x14ac:dyDescent="0.25">
      <c r="A3" t="s">
        <v>44</v>
      </c>
    </row>
    <row r="4" spans="1:11" x14ac:dyDescent="0.25">
      <c r="A4" t="s">
        <v>45</v>
      </c>
    </row>
    <row r="5" spans="1:11" x14ac:dyDescent="0.25">
      <c r="A5" t="s">
        <v>46</v>
      </c>
    </row>
    <row r="7" spans="1:11" x14ac:dyDescent="0.25">
      <c r="A7" s="78" t="str">
        <f>CONCATENATE("Lx = Lref * (Qref/Qx)^",TEXT(G7,"##.0##")," * (Vref/Vx)^7.5")</f>
        <v>Lx = Lref * (Qref/Qx)^2.8 * (Vref/Vx)^7.5</v>
      </c>
      <c r="F7" s="11" t="s">
        <v>120</v>
      </c>
      <c r="G7" s="20">
        <v>2.8</v>
      </c>
      <c r="K7" s="20" t="s">
        <v>60</v>
      </c>
    </row>
    <row r="8" spans="1:11" x14ac:dyDescent="0.25">
      <c r="E8" t="s">
        <v>122</v>
      </c>
    </row>
    <row r="9" spans="1:11" x14ac:dyDescent="0.25">
      <c r="A9" t="s">
        <v>2</v>
      </c>
      <c r="E9" t="s">
        <v>121</v>
      </c>
      <c r="K9" s="19" t="s">
        <v>59</v>
      </c>
    </row>
    <row r="10" spans="1:11" x14ac:dyDescent="0.25">
      <c r="A10" t="s">
        <v>3</v>
      </c>
    </row>
    <row r="11" spans="1:11" x14ac:dyDescent="0.25">
      <c r="A11" t="s">
        <v>4</v>
      </c>
    </row>
    <row r="12" spans="1:11" x14ac:dyDescent="0.25">
      <c r="A12" t="s">
        <v>5</v>
      </c>
    </row>
    <row r="13" spans="1:11" x14ac:dyDescent="0.25">
      <c r="A13" t="s">
        <v>6</v>
      </c>
    </row>
    <row r="14" spans="1:11" x14ac:dyDescent="0.25">
      <c r="A14" t="s">
        <v>7</v>
      </c>
    </row>
    <row r="16" spans="1:11" x14ac:dyDescent="0.25">
      <c r="A16" t="s">
        <v>77</v>
      </c>
    </row>
    <row r="18" spans="1:17" x14ac:dyDescent="0.25">
      <c r="A18" t="s">
        <v>9</v>
      </c>
    </row>
    <row r="20" spans="1:17" ht="18" x14ac:dyDescent="0.25">
      <c r="A20" s="2" t="s">
        <v>10</v>
      </c>
    </row>
    <row r="21" spans="1:17" x14ac:dyDescent="0.25">
      <c r="D21" s="11" t="s">
        <v>50</v>
      </c>
      <c r="F21" s="10" t="s">
        <v>32</v>
      </c>
      <c r="J21" s="11" t="s">
        <v>33</v>
      </c>
      <c r="L21" s="11" t="s">
        <v>36</v>
      </c>
      <c r="N21" s="11"/>
      <c r="P21" s="11" t="s">
        <v>53</v>
      </c>
    </row>
    <row r="22" spans="1:17" x14ac:dyDescent="0.25">
      <c r="A22" t="s">
        <v>24</v>
      </c>
      <c r="D22" s="6">
        <v>37336</v>
      </c>
      <c r="E22" t="s">
        <v>25</v>
      </c>
      <c r="F22" s="7">
        <v>80000000</v>
      </c>
      <c r="G22" t="s">
        <v>26</v>
      </c>
      <c r="J22" s="6">
        <v>80</v>
      </c>
      <c r="K22" t="s">
        <v>52</v>
      </c>
      <c r="L22" s="8">
        <v>0.2</v>
      </c>
      <c r="M22" t="s">
        <v>27</v>
      </c>
      <c r="N22" s="9">
        <f>L22</f>
        <v>0.2</v>
      </c>
      <c r="O22" t="s">
        <v>28</v>
      </c>
      <c r="P22" s="12">
        <f>SQRT(1+1/(2/PI()*LN(L22))^2)</f>
        <v>1.3973395133391762</v>
      </c>
      <c r="Q22" t="s">
        <v>96</v>
      </c>
    </row>
    <row r="23" spans="1:17" x14ac:dyDescent="0.25">
      <c r="E23" s="10" t="s">
        <v>37</v>
      </c>
      <c r="J23" s="10" t="s">
        <v>35</v>
      </c>
      <c r="M23" s="10" t="s">
        <v>34</v>
      </c>
    </row>
    <row r="24" spans="1:17" x14ac:dyDescent="0.25">
      <c r="A24" t="s">
        <v>29</v>
      </c>
      <c r="E24" s="8">
        <v>0.9</v>
      </c>
      <c r="F24" t="s">
        <v>48</v>
      </c>
      <c r="J24" s="12">
        <f>SQRT(1+1/(2/PI()*LN(E24))^2)</f>
        <v>14.942275653567691</v>
      </c>
      <c r="K24" t="s">
        <v>30</v>
      </c>
      <c r="M24" s="6">
        <v>33</v>
      </c>
      <c r="N24" t="s">
        <v>31</v>
      </c>
    </row>
    <row r="26" spans="1:17" x14ac:dyDescent="0.25">
      <c r="E26" s="76" t="str">
        <f>CONCATENATE("Lx = Lref * (Qref/Qx)^",TEXT(G7,"##.0##")," * (Vref/Vx)^7.5")</f>
        <v>Lx = Lref * (Qref/Qx)^2.8 * (Vref/Vx)^7.5</v>
      </c>
      <c r="F26" s="13">
        <f>F$22 * (P22/J24)^$G$7 * (J22/M24)^7.5</f>
        <v>80517241.800218329</v>
      </c>
      <c r="G26" t="s">
        <v>38</v>
      </c>
    </row>
    <row r="28" spans="1:17" x14ac:dyDescent="0.25">
      <c r="A28" t="s">
        <v>39</v>
      </c>
      <c r="C28" s="6">
        <v>30</v>
      </c>
      <c r="D28" t="s">
        <v>42</v>
      </c>
      <c r="G28" s="14">
        <f>M24</f>
        <v>33</v>
      </c>
      <c r="H28" s="15" t="s">
        <v>40</v>
      </c>
      <c r="I28" s="14">
        <f>C28</f>
        <v>30</v>
      </c>
      <c r="J28" t="s">
        <v>43</v>
      </c>
      <c r="K28" s="12">
        <f>(G28/I28)^7.5</f>
        <v>2.0438317370604793</v>
      </c>
      <c r="L28" t="s">
        <v>41</v>
      </c>
    </row>
    <row r="30" spans="1:17" x14ac:dyDescent="0.25">
      <c r="A30" t="s">
        <v>47</v>
      </c>
      <c r="C30" s="6">
        <v>200</v>
      </c>
      <c r="D30" t="s">
        <v>51</v>
      </c>
      <c r="E30" s="14">
        <f>M24</f>
        <v>33</v>
      </c>
      <c r="F30" t="s">
        <v>49</v>
      </c>
      <c r="L30" s="16">
        <f>F26/(C30*60)</f>
        <v>6709.7701500181938</v>
      </c>
      <c r="M30" t="s">
        <v>78</v>
      </c>
      <c r="P30" s="14">
        <f>L30/60</f>
        <v>111.82950250030324</v>
      </c>
      <c r="Q30" t="s">
        <v>57</v>
      </c>
    </row>
    <row r="32" spans="1:17" x14ac:dyDescent="0.25">
      <c r="A32" t="s">
        <v>54</v>
      </c>
      <c r="C32" s="14">
        <f>C28</f>
        <v>30</v>
      </c>
      <c r="D32" t="s">
        <v>55</v>
      </c>
      <c r="G32" s="14">
        <f>L30*K28</f>
        <v>13713.641180988237</v>
      </c>
      <c r="I32" t="s">
        <v>56</v>
      </c>
      <c r="K32" s="17">
        <f>G32/60</f>
        <v>228.56068634980394</v>
      </c>
      <c r="L32" t="s">
        <v>57</v>
      </c>
    </row>
    <row r="33" spans="1:15" x14ac:dyDescent="0.25">
      <c r="A33" t="s">
        <v>39</v>
      </c>
      <c r="C33" s="6">
        <v>28</v>
      </c>
      <c r="D33" t="s">
        <v>42</v>
      </c>
      <c r="G33" s="14">
        <f>M24</f>
        <v>33</v>
      </c>
      <c r="H33" s="15" t="s">
        <v>40</v>
      </c>
      <c r="I33" s="14">
        <f>C33</f>
        <v>28</v>
      </c>
      <c r="J33" t="s">
        <v>43</v>
      </c>
      <c r="K33" s="12">
        <f>(G33/I33)^7.5</f>
        <v>3.4290144402481988</v>
      </c>
      <c r="L33" t="s">
        <v>41</v>
      </c>
    </row>
    <row r="34" spans="1:15" x14ac:dyDescent="0.25">
      <c r="A34" t="s">
        <v>54</v>
      </c>
      <c r="C34" s="14">
        <f>C33</f>
        <v>28</v>
      </c>
      <c r="D34" t="s">
        <v>58</v>
      </c>
      <c r="K34" s="16">
        <f>L30*K33/60</f>
        <v>383.46497891931182</v>
      </c>
      <c r="L34" t="s">
        <v>72</v>
      </c>
      <c r="N34" s="21"/>
      <c r="O34" s="21"/>
    </row>
    <row r="35" spans="1:15" x14ac:dyDescent="0.25">
      <c r="A35" s="21" t="s">
        <v>73</v>
      </c>
      <c r="C35" s="6">
        <v>10</v>
      </c>
      <c r="D35" t="s">
        <v>74</v>
      </c>
      <c r="E35" s="21"/>
      <c r="F35" s="21"/>
      <c r="G35" s="12">
        <f>J24</f>
        <v>14.942275653567691</v>
      </c>
      <c r="H35" s="15" t="s">
        <v>40</v>
      </c>
      <c r="I35" s="14">
        <f>C35</f>
        <v>10</v>
      </c>
      <c r="J35" s="77" t="str">
        <f>CONCATENATE(" ) ^",TEXT(G7,"##.0##")," some")</f>
        <v xml:space="preserve"> ) ^2.8 some</v>
      </c>
      <c r="K35" s="22"/>
      <c r="L35" s="24">
        <f>(G35/I35)^G7-1</f>
        <v>2.0786965364411154</v>
      </c>
      <c r="M35" s="18" t="s">
        <v>100</v>
      </c>
      <c r="N35" s="21"/>
      <c r="O35" s="21"/>
    </row>
    <row r="36" spans="1:15" x14ac:dyDescent="0.25">
      <c r="A36" t="s">
        <v>75</v>
      </c>
      <c r="C36" s="23">
        <f>EXP(-PI()/2*SQRT(1/(C35^2-1)))</f>
        <v>0.8539599605881244</v>
      </c>
      <c r="D36" t="s">
        <v>76</v>
      </c>
    </row>
    <row r="38" spans="1:15" x14ac:dyDescent="0.25">
      <c r="A38" t="s">
        <v>15</v>
      </c>
    </row>
    <row r="39" spans="1:15" x14ac:dyDescent="0.25">
      <c r="A39" s="3"/>
    </row>
    <row r="40" spans="1:15" x14ac:dyDescent="0.25">
      <c r="A40" s="3" t="s">
        <v>16</v>
      </c>
    </row>
    <row r="41" spans="1:15" x14ac:dyDescent="0.25">
      <c r="A41" s="3" t="s">
        <v>17</v>
      </c>
    </row>
    <row r="43" spans="1:15" x14ac:dyDescent="0.25">
      <c r="A43" t="s">
        <v>92</v>
      </c>
    </row>
    <row r="44" spans="1:15" x14ac:dyDescent="0.25">
      <c r="A44" t="s">
        <v>93</v>
      </c>
    </row>
    <row r="45" spans="1:15" x14ac:dyDescent="0.25">
      <c r="A45" t="s">
        <v>94</v>
      </c>
    </row>
    <row r="47" spans="1:15" ht="18" x14ac:dyDescent="0.25">
      <c r="A47" s="2" t="s">
        <v>18</v>
      </c>
    </row>
    <row r="49" spans="1:16" x14ac:dyDescent="0.25">
      <c r="A49" s="4" t="s">
        <v>19</v>
      </c>
    </row>
    <row r="51" spans="1:16" x14ac:dyDescent="0.25">
      <c r="A51" t="s">
        <v>20</v>
      </c>
    </row>
    <row r="53" spans="1:16" x14ac:dyDescent="0.25">
      <c r="A53" t="s">
        <v>21</v>
      </c>
      <c r="D53" s="18" t="s">
        <v>95</v>
      </c>
    </row>
    <row r="55" spans="1:16" x14ac:dyDescent="0.25">
      <c r="A55" t="s">
        <v>22</v>
      </c>
    </row>
    <row r="57" spans="1:16" x14ac:dyDescent="0.25">
      <c r="A57" t="s">
        <v>23</v>
      </c>
    </row>
    <row r="59" spans="1:1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5" t="s">
        <v>97</v>
      </c>
      <c r="E60" s="5" t="s">
        <v>98</v>
      </c>
    </row>
  </sheetData>
  <pageMargins left="0.39370078740157483" right="0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404BA-8084-4EA2-B15D-40BB4844EDF2}">
          <x14:formula1>
            <xm:f>Graphs!$O$32:$O$35</xm:f>
          </x14:formula1>
          <xm:sqref>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0"/>
  <sheetViews>
    <sheetView workbookViewId="0">
      <selection activeCell="G7" sqref="G7"/>
    </sheetView>
  </sheetViews>
  <sheetFormatPr baseColWidth="10" defaultRowHeight="15" x14ac:dyDescent="0.25"/>
  <cols>
    <col min="3" max="3" width="6.7109375" customWidth="1"/>
    <col min="4" max="4" width="12.28515625" customWidth="1"/>
    <col min="7" max="7" width="6.140625" customWidth="1"/>
    <col min="8" max="8" width="2.140625" customWidth="1"/>
    <col min="9" max="9" width="3.7109375" customWidth="1"/>
    <col min="10" max="10" width="7" customWidth="1"/>
    <col min="11" max="11" width="11.42578125" customWidth="1"/>
    <col min="12" max="12" width="7.85546875" customWidth="1"/>
    <col min="13" max="13" width="6" customWidth="1"/>
    <col min="14" max="14" width="5.140625" customWidth="1"/>
    <col min="16" max="16" width="11.5703125" customWidth="1"/>
    <col min="17" max="17" width="6.42578125" customWidth="1"/>
  </cols>
  <sheetData>
    <row r="1" spans="1:11" ht="23.25" x14ac:dyDescent="0.35">
      <c r="A1" s="1" t="s">
        <v>0</v>
      </c>
      <c r="I1" s="79" t="s">
        <v>125</v>
      </c>
    </row>
    <row r="3" spans="1:11" x14ac:dyDescent="0.25">
      <c r="A3" t="s">
        <v>44</v>
      </c>
    </row>
    <row r="4" spans="1:11" x14ac:dyDescent="0.25">
      <c r="A4" t="s">
        <v>45</v>
      </c>
    </row>
    <row r="5" spans="1:11" x14ac:dyDescent="0.25">
      <c r="A5" t="s">
        <v>46</v>
      </c>
    </row>
    <row r="7" spans="1:11" x14ac:dyDescent="0.25">
      <c r="A7" s="78" t="str">
        <f>CONCATENATE("Lx = Lref * (Qref/Qx)^",TEXT(G7,"##.0##")," * (Vref/Vx)^7.5")</f>
        <v>Lx = Lref * (Qref/Qx)^1.6 * (Vref/Vx)^7.5</v>
      </c>
      <c r="F7" s="11" t="s">
        <v>120</v>
      </c>
      <c r="G7" s="20">
        <v>1.6</v>
      </c>
      <c r="K7" s="20" t="s">
        <v>60</v>
      </c>
    </row>
    <row r="8" spans="1:11" x14ac:dyDescent="0.25">
      <c r="E8" t="s">
        <v>122</v>
      </c>
    </row>
    <row r="9" spans="1:11" x14ac:dyDescent="0.25">
      <c r="A9" t="s">
        <v>2</v>
      </c>
      <c r="E9" t="s">
        <v>121</v>
      </c>
      <c r="K9" s="19" t="s">
        <v>59</v>
      </c>
    </row>
    <row r="10" spans="1:11" x14ac:dyDescent="0.25">
      <c r="A10" t="s">
        <v>3</v>
      </c>
    </row>
    <row r="11" spans="1:11" x14ac:dyDescent="0.25">
      <c r="A11" t="s">
        <v>4</v>
      </c>
    </row>
    <row r="12" spans="1:11" x14ac:dyDescent="0.25">
      <c r="A12" t="s">
        <v>5</v>
      </c>
      <c r="F12" s="80" t="s">
        <v>131</v>
      </c>
    </row>
    <row r="13" spans="1:11" x14ac:dyDescent="0.25">
      <c r="A13" t="s">
        <v>6</v>
      </c>
    </row>
    <row r="14" spans="1:11" x14ac:dyDescent="0.25">
      <c r="A14" t="s">
        <v>7</v>
      </c>
    </row>
    <row r="16" spans="1:11" x14ac:dyDescent="0.25">
      <c r="A16" t="s">
        <v>77</v>
      </c>
    </row>
    <row r="18" spans="1:17" x14ac:dyDescent="0.25">
      <c r="A18" t="s">
        <v>9</v>
      </c>
    </row>
    <row r="20" spans="1:17" ht="18" x14ac:dyDescent="0.25">
      <c r="A20" s="2" t="s">
        <v>10</v>
      </c>
    </row>
    <row r="21" spans="1:17" x14ac:dyDescent="0.25">
      <c r="D21" s="11" t="s">
        <v>50</v>
      </c>
      <c r="F21" s="10" t="s">
        <v>32</v>
      </c>
      <c r="J21" s="11" t="s">
        <v>33</v>
      </c>
      <c r="L21" s="11" t="s">
        <v>36</v>
      </c>
      <c r="N21" s="11"/>
      <c r="P21" s="11" t="s">
        <v>53</v>
      </c>
    </row>
    <row r="22" spans="1:17" x14ac:dyDescent="0.25">
      <c r="A22" t="s">
        <v>24</v>
      </c>
      <c r="D22" s="6">
        <v>37667</v>
      </c>
      <c r="E22" t="s">
        <v>25</v>
      </c>
      <c r="F22" s="7">
        <v>300000000</v>
      </c>
      <c r="G22" t="s">
        <v>26</v>
      </c>
      <c r="J22" s="6">
        <v>35</v>
      </c>
      <c r="K22" t="s">
        <v>52</v>
      </c>
      <c r="L22" s="8">
        <v>0.15</v>
      </c>
      <c r="M22" t="s">
        <v>27</v>
      </c>
      <c r="N22" s="9">
        <f>L22</f>
        <v>0.15</v>
      </c>
      <c r="O22" t="s">
        <v>28</v>
      </c>
      <c r="P22" s="12">
        <f>SQRT(1+1/(2/PI()*LN(L22))^2)</f>
        <v>1.2982940332990562</v>
      </c>
      <c r="Q22" t="s">
        <v>96</v>
      </c>
    </row>
    <row r="23" spans="1:17" x14ac:dyDescent="0.25">
      <c r="E23" s="10" t="s">
        <v>37</v>
      </c>
      <c r="J23" s="10" t="s">
        <v>35</v>
      </c>
      <c r="M23" s="10" t="s">
        <v>34</v>
      </c>
    </row>
    <row r="24" spans="1:17" x14ac:dyDescent="0.25">
      <c r="A24" t="s">
        <v>29</v>
      </c>
      <c r="E24" s="8">
        <v>0.9</v>
      </c>
      <c r="F24" t="s">
        <v>48</v>
      </c>
      <c r="J24" s="12">
        <f>SQRT(1+1/(2/PI()*LN(E24))^2)</f>
        <v>14.942275653567691</v>
      </c>
      <c r="K24" t="s">
        <v>30</v>
      </c>
      <c r="M24" s="6">
        <v>20</v>
      </c>
      <c r="N24" t="s">
        <v>31</v>
      </c>
    </row>
    <row r="26" spans="1:17" x14ac:dyDescent="0.25">
      <c r="E26" s="76" t="str">
        <f>CONCATENATE("Lx = Lref * (Qref/Qx)^",TEXT(G7,"##.0##")," * (Vref/Vx)^7.5")</f>
        <v>Lx = Lref * (Qref/Qx)^1.6 * (Vref/Vx)^7.5</v>
      </c>
      <c r="F26" s="13">
        <f>F$22 * (P22/J24)^$G$7 * (J22/M24)^7.5</f>
        <v>400162813.05410969</v>
      </c>
      <c r="G26" t="s">
        <v>38</v>
      </c>
    </row>
    <row r="28" spans="1:17" x14ac:dyDescent="0.25">
      <c r="A28" t="s">
        <v>39</v>
      </c>
      <c r="C28" s="6">
        <v>14</v>
      </c>
      <c r="D28" t="s">
        <v>42</v>
      </c>
      <c r="G28" s="14">
        <f>M24</f>
        <v>20</v>
      </c>
      <c r="H28" s="15" t="s">
        <v>40</v>
      </c>
      <c r="I28" s="14">
        <f>C28</f>
        <v>14</v>
      </c>
      <c r="J28" t="s">
        <v>43</v>
      </c>
      <c r="K28" s="12">
        <f>(G28/I28)^7.5</f>
        <v>14.513250787565358</v>
      </c>
      <c r="L28" t="s">
        <v>41</v>
      </c>
    </row>
    <row r="30" spans="1:17" x14ac:dyDescent="0.25">
      <c r="A30" t="s">
        <v>47</v>
      </c>
      <c r="C30" s="6">
        <v>200</v>
      </c>
      <c r="D30" t="s">
        <v>51</v>
      </c>
      <c r="E30" s="14">
        <f>M24</f>
        <v>20</v>
      </c>
      <c r="F30" t="s">
        <v>49</v>
      </c>
      <c r="L30" s="16">
        <f>F26/(C30*60)</f>
        <v>33346.901087842474</v>
      </c>
      <c r="M30" t="s">
        <v>78</v>
      </c>
      <c r="P30" s="14">
        <f>L30/60</f>
        <v>555.78168479737462</v>
      </c>
      <c r="Q30" t="s">
        <v>57</v>
      </c>
    </row>
    <row r="32" spans="1:17" x14ac:dyDescent="0.25">
      <c r="A32" t="s">
        <v>54</v>
      </c>
      <c r="C32" s="14">
        <f>C28</f>
        <v>14</v>
      </c>
      <c r="D32" t="s">
        <v>55</v>
      </c>
      <c r="G32" s="14">
        <f>L30*K28</f>
        <v>483971.93847599387</v>
      </c>
      <c r="I32" t="s">
        <v>56</v>
      </c>
      <c r="K32" s="17">
        <f>G32/60</f>
        <v>8066.1989745998981</v>
      </c>
      <c r="L32" t="s">
        <v>57</v>
      </c>
    </row>
    <row r="33" spans="1:15" x14ac:dyDescent="0.25">
      <c r="A33" t="s">
        <v>39</v>
      </c>
      <c r="C33" s="6">
        <v>13.5</v>
      </c>
      <c r="D33" t="s">
        <v>42</v>
      </c>
      <c r="G33" s="14">
        <f>M24</f>
        <v>20</v>
      </c>
      <c r="H33" s="15" t="s">
        <v>40</v>
      </c>
      <c r="I33" s="14">
        <f>C33</f>
        <v>13.5</v>
      </c>
      <c r="J33" t="s">
        <v>43</v>
      </c>
      <c r="K33" s="12">
        <f>(G33/I33)^7.5</f>
        <v>19.06433688340881</v>
      </c>
      <c r="L33" t="s">
        <v>41</v>
      </c>
    </row>
    <row r="34" spans="1:15" x14ac:dyDescent="0.25">
      <c r="A34" t="s">
        <v>54</v>
      </c>
      <c r="C34" s="14">
        <f>C33</f>
        <v>13.5</v>
      </c>
      <c r="D34" t="s">
        <v>58</v>
      </c>
      <c r="K34" s="16">
        <f>L30*K33/60</f>
        <v>10595.609272605678</v>
      </c>
      <c r="L34" t="s">
        <v>72</v>
      </c>
      <c r="N34" s="21"/>
      <c r="O34" s="21"/>
    </row>
    <row r="35" spans="1:15" x14ac:dyDescent="0.25">
      <c r="A35" s="21" t="s">
        <v>73</v>
      </c>
      <c r="C35" s="6">
        <v>10</v>
      </c>
      <c r="D35" t="s">
        <v>74</v>
      </c>
      <c r="E35" s="21"/>
      <c r="F35" s="21"/>
      <c r="G35" s="12">
        <f>J24</f>
        <v>14.942275653567691</v>
      </c>
      <c r="H35" s="15" t="s">
        <v>40</v>
      </c>
      <c r="I35" s="14">
        <f>C35</f>
        <v>10</v>
      </c>
      <c r="J35" s="77" t="str">
        <f>CONCATENATE(" ) ^",TEXT(G7,"##.0##")," some")</f>
        <v xml:space="preserve"> ) ^1.6 some</v>
      </c>
      <c r="K35" s="22"/>
      <c r="L35" s="24">
        <f>(G35/I35)^G7-1</f>
        <v>0.90137067010552441</v>
      </c>
      <c r="M35" s="18" t="s">
        <v>136</v>
      </c>
      <c r="N35" s="21"/>
      <c r="O35" s="21"/>
    </row>
    <row r="36" spans="1:15" x14ac:dyDescent="0.25">
      <c r="A36" t="s">
        <v>75</v>
      </c>
      <c r="C36" s="23">
        <f>EXP(-PI()/2*SQRT(1/(C35^2-1)))</f>
        <v>0.8539599605881244</v>
      </c>
      <c r="D36" t="s">
        <v>76</v>
      </c>
    </row>
    <row r="38" spans="1:15" x14ac:dyDescent="0.25">
      <c r="A38" t="s">
        <v>15</v>
      </c>
    </row>
    <row r="39" spans="1:15" x14ac:dyDescent="0.25">
      <c r="A39" s="3"/>
    </row>
    <row r="40" spans="1:15" x14ac:dyDescent="0.25">
      <c r="A40" s="3" t="s">
        <v>16</v>
      </c>
    </row>
    <row r="41" spans="1:15" x14ac:dyDescent="0.25">
      <c r="A41" s="3" t="s">
        <v>17</v>
      </c>
    </row>
    <row r="43" spans="1:15" x14ac:dyDescent="0.25">
      <c r="A43" t="s">
        <v>92</v>
      </c>
    </row>
    <row r="44" spans="1:15" x14ac:dyDescent="0.25">
      <c r="A44" t="s">
        <v>93</v>
      </c>
    </row>
    <row r="45" spans="1:15" x14ac:dyDescent="0.25">
      <c r="A45" t="s">
        <v>94</v>
      </c>
    </row>
    <row r="47" spans="1:15" ht="18" x14ac:dyDescent="0.25">
      <c r="A47" s="2" t="s">
        <v>18</v>
      </c>
    </row>
    <row r="49" spans="1:16" x14ac:dyDescent="0.25">
      <c r="A49" s="4" t="s">
        <v>19</v>
      </c>
    </row>
    <row r="51" spans="1:16" x14ac:dyDescent="0.25">
      <c r="A51" t="s">
        <v>20</v>
      </c>
    </row>
    <row r="53" spans="1:16" x14ac:dyDescent="0.25">
      <c r="A53" t="s">
        <v>21</v>
      </c>
      <c r="D53" s="18" t="s">
        <v>95</v>
      </c>
    </row>
    <row r="55" spans="1:16" x14ac:dyDescent="0.25">
      <c r="A55" t="s">
        <v>22</v>
      </c>
    </row>
    <row r="57" spans="1:16" x14ac:dyDescent="0.25">
      <c r="A57" t="s">
        <v>23</v>
      </c>
    </row>
    <row r="59" spans="1:1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5" t="s">
        <v>97</v>
      </c>
      <c r="E60" s="5" t="s">
        <v>98</v>
      </c>
    </row>
  </sheetData>
  <hyperlinks>
    <hyperlink ref="F12" r:id="rId1" xr:uid="{4EFF5622-7B15-48BC-A702-631C6DF0D19A}"/>
  </hyperlinks>
  <pageMargins left="0.39370078740157483" right="0" top="0.74803149606299213" bottom="0.74803149606299213" header="0.31496062992125984" footer="0.31496062992125984"/>
  <pageSetup paperSize="9" scale="7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703623-5064-4972-81A5-BFFF85048849}">
          <x14:formula1>
            <xm:f>Graphs!$O$32:$O$35</xm:f>
          </x14:formula1>
          <xm:sqref>G7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0"/>
  <sheetViews>
    <sheetView workbookViewId="0">
      <selection activeCell="G7" sqref="G7"/>
    </sheetView>
  </sheetViews>
  <sheetFormatPr baseColWidth="10" defaultRowHeight="15" x14ac:dyDescent="0.25"/>
  <cols>
    <col min="3" max="3" width="6.7109375" customWidth="1"/>
    <col min="4" max="4" width="12.28515625" customWidth="1"/>
    <col min="7" max="7" width="5.28515625" customWidth="1"/>
    <col min="8" max="8" width="2.140625" customWidth="1"/>
    <col min="9" max="9" width="3.7109375" customWidth="1"/>
    <col min="10" max="10" width="7" customWidth="1"/>
    <col min="11" max="11" width="11.42578125" customWidth="1"/>
    <col min="12" max="12" width="7.28515625" customWidth="1"/>
    <col min="13" max="13" width="6" customWidth="1"/>
    <col min="14" max="14" width="5.140625" customWidth="1"/>
    <col min="16" max="16" width="7.5703125" customWidth="1"/>
  </cols>
  <sheetData>
    <row r="1" spans="1:11" ht="23.25" x14ac:dyDescent="0.25">
      <c r="A1" s="1" t="s">
        <v>0</v>
      </c>
    </row>
    <row r="3" spans="1:11" x14ac:dyDescent="0.25">
      <c r="A3" t="s">
        <v>44</v>
      </c>
    </row>
    <row r="4" spans="1:11" x14ac:dyDescent="0.25">
      <c r="A4" t="s">
        <v>45</v>
      </c>
    </row>
    <row r="5" spans="1:11" x14ac:dyDescent="0.25">
      <c r="A5" t="s">
        <v>46</v>
      </c>
    </row>
    <row r="7" spans="1:11" x14ac:dyDescent="0.25">
      <c r="A7" s="78" t="str">
        <f>CONCATENATE("Lx = Lref * (Qref/Qx)^",TEXT(G7,"##.0##")," * (Vref/Vx)^7.5")</f>
        <v>Lx = Lref * (Qref/Qx)^1.6 * (Vref/Vx)^7.5</v>
      </c>
      <c r="F7" s="11" t="s">
        <v>120</v>
      </c>
      <c r="G7" s="20">
        <v>1.6</v>
      </c>
      <c r="K7" s="20" t="s">
        <v>60</v>
      </c>
    </row>
    <row r="8" spans="1:11" x14ac:dyDescent="0.25">
      <c r="E8" t="s">
        <v>122</v>
      </c>
    </row>
    <row r="9" spans="1:11" x14ac:dyDescent="0.25">
      <c r="A9" t="s">
        <v>2</v>
      </c>
      <c r="E9" t="s">
        <v>121</v>
      </c>
      <c r="K9" s="19" t="s">
        <v>59</v>
      </c>
    </row>
    <row r="10" spans="1:11" x14ac:dyDescent="0.25">
      <c r="A10" t="s">
        <v>3</v>
      </c>
    </row>
    <row r="11" spans="1:11" x14ac:dyDescent="0.25">
      <c r="A11" t="s">
        <v>4</v>
      </c>
    </row>
    <row r="12" spans="1:11" x14ac:dyDescent="0.25">
      <c r="A12" t="s">
        <v>5</v>
      </c>
    </row>
    <row r="13" spans="1:11" x14ac:dyDescent="0.25">
      <c r="A13" t="s">
        <v>6</v>
      </c>
    </row>
    <row r="14" spans="1:11" x14ac:dyDescent="0.25">
      <c r="A14" t="s">
        <v>7</v>
      </c>
    </row>
    <row r="16" spans="1:11" x14ac:dyDescent="0.25">
      <c r="A16" t="s">
        <v>77</v>
      </c>
    </row>
    <row r="18" spans="1:17" x14ac:dyDescent="0.25">
      <c r="A18" t="s">
        <v>9</v>
      </c>
    </row>
    <row r="20" spans="1:17" ht="18" x14ac:dyDescent="0.25">
      <c r="A20" s="2" t="s">
        <v>10</v>
      </c>
    </row>
    <row r="21" spans="1:17" x14ac:dyDescent="0.25">
      <c r="D21" s="11" t="s">
        <v>50</v>
      </c>
      <c r="F21" s="10" t="s">
        <v>32</v>
      </c>
      <c r="J21" s="11" t="s">
        <v>33</v>
      </c>
      <c r="L21" s="11" t="s">
        <v>36</v>
      </c>
      <c r="N21" s="11"/>
      <c r="P21" s="11" t="s">
        <v>53</v>
      </c>
    </row>
    <row r="22" spans="1:17" x14ac:dyDescent="0.25">
      <c r="A22" t="s">
        <v>24</v>
      </c>
      <c r="D22" s="6">
        <v>31162</v>
      </c>
      <c r="E22" t="s">
        <v>25</v>
      </c>
      <c r="F22" s="7">
        <v>100000</v>
      </c>
      <c r="G22" t="s">
        <v>26</v>
      </c>
      <c r="J22" s="6">
        <v>75</v>
      </c>
      <c r="K22" t="s">
        <v>52</v>
      </c>
      <c r="L22" s="8">
        <v>0.2</v>
      </c>
      <c r="M22" t="s">
        <v>27</v>
      </c>
      <c r="N22" s="9">
        <f>L22</f>
        <v>0.2</v>
      </c>
      <c r="O22" t="s">
        <v>28</v>
      </c>
      <c r="P22" s="12">
        <f>SQRT(1+1/(2/PI()*LN(L22))^2)</f>
        <v>1.3973395133391762</v>
      </c>
      <c r="Q22" t="s">
        <v>96</v>
      </c>
    </row>
    <row r="23" spans="1:17" x14ac:dyDescent="0.25">
      <c r="E23" s="11" t="s">
        <v>61</v>
      </c>
      <c r="J23" s="10" t="s">
        <v>35</v>
      </c>
      <c r="M23" s="10" t="s">
        <v>34</v>
      </c>
    </row>
    <row r="24" spans="1:17" x14ac:dyDescent="0.25">
      <c r="A24" t="s">
        <v>29</v>
      </c>
      <c r="E24" s="8">
        <v>0.9</v>
      </c>
      <c r="F24" t="s">
        <v>48</v>
      </c>
      <c r="J24" s="12">
        <f>SQRT(1+1/(2/PI()*LN(E24))^2)</f>
        <v>14.942275653567691</v>
      </c>
      <c r="K24" t="s">
        <v>30</v>
      </c>
      <c r="M24" s="6">
        <v>42</v>
      </c>
      <c r="N24" t="s">
        <v>31</v>
      </c>
    </row>
    <row r="26" spans="1:17" x14ac:dyDescent="0.25">
      <c r="E26" s="76" t="str">
        <f>CONCATENATE("Lx = Lref * (Qref/Qx)^",TEXT(G7,"##.0##")," * (Vref/Vx)^7.5")</f>
        <v>Lx = Lref * (Qref/Qx)^1.6 * (Vref/Vx)^7.5</v>
      </c>
      <c r="F26" s="13">
        <f>F$22 * (P22/J24)^$G$7 * (J22/M24)^7.5</f>
        <v>174584.67192318113</v>
      </c>
      <c r="G26" t="s">
        <v>38</v>
      </c>
    </row>
    <row r="28" spans="1:17" x14ac:dyDescent="0.25">
      <c r="A28" t="s">
        <v>39</v>
      </c>
      <c r="C28" s="6">
        <v>30</v>
      </c>
      <c r="D28" t="s">
        <v>42</v>
      </c>
      <c r="G28" s="14">
        <f>M24</f>
        <v>42</v>
      </c>
      <c r="H28" s="15" t="s">
        <v>40</v>
      </c>
      <c r="I28" s="14">
        <f>C28</f>
        <v>30</v>
      </c>
      <c r="J28" t="s">
        <v>43</v>
      </c>
      <c r="K28" s="12">
        <f>(G28/I28)^7.5</f>
        <v>12.472693997601807</v>
      </c>
      <c r="L28" t="s">
        <v>41</v>
      </c>
    </row>
    <row r="30" spans="1:17" x14ac:dyDescent="0.25">
      <c r="A30" t="s">
        <v>47</v>
      </c>
      <c r="C30" s="6">
        <v>120</v>
      </c>
      <c r="D30" t="s">
        <v>51</v>
      </c>
      <c r="E30" s="14">
        <f>M24</f>
        <v>42</v>
      </c>
      <c r="F30" t="s">
        <v>49</v>
      </c>
      <c r="L30" s="16">
        <f>F26/(C30*60)</f>
        <v>24.247871100441824</v>
      </c>
      <c r="M30" t="s">
        <v>78</v>
      </c>
      <c r="P30" s="14">
        <f>L30/60</f>
        <v>0.40413118500736372</v>
      </c>
      <c r="Q30" t="s">
        <v>57</v>
      </c>
    </row>
    <row r="32" spans="1:17" x14ac:dyDescent="0.25">
      <c r="A32" t="s">
        <v>54</v>
      </c>
      <c r="C32" s="14">
        <f>C28</f>
        <v>30</v>
      </c>
      <c r="D32" t="s">
        <v>55</v>
      </c>
      <c r="G32" s="14">
        <f>L30*K28</f>
        <v>302.43627632910307</v>
      </c>
      <c r="I32" t="s">
        <v>56</v>
      </c>
      <c r="K32" s="17">
        <f>G32/60</f>
        <v>5.0406046054850515</v>
      </c>
      <c r="L32" t="s">
        <v>57</v>
      </c>
    </row>
    <row r="33" spans="1:15" x14ac:dyDescent="0.25">
      <c r="A33" t="s">
        <v>39</v>
      </c>
      <c r="C33" s="6">
        <v>20</v>
      </c>
      <c r="D33" t="s">
        <v>42</v>
      </c>
      <c r="G33" s="14">
        <f>M24</f>
        <v>42</v>
      </c>
      <c r="H33" s="15" t="s">
        <v>40</v>
      </c>
      <c r="I33" s="14">
        <f>C33</f>
        <v>20</v>
      </c>
      <c r="J33" t="s">
        <v>43</v>
      </c>
      <c r="K33" s="12">
        <f>(G33/I33)^7.5</f>
        <v>261.00252600875666</v>
      </c>
      <c r="L33" t="s">
        <v>41</v>
      </c>
    </row>
    <row r="34" spans="1:15" x14ac:dyDescent="0.25">
      <c r="A34" t="s">
        <v>54</v>
      </c>
      <c r="C34" s="14">
        <f>C33</f>
        <v>20</v>
      </c>
      <c r="D34" t="s">
        <v>58</v>
      </c>
      <c r="K34" s="16">
        <f>L30*K33/60</f>
        <v>105.4792601258341</v>
      </c>
      <c r="L34" t="s">
        <v>72</v>
      </c>
      <c r="N34" s="21"/>
      <c r="O34" s="21"/>
    </row>
    <row r="35" spans="1:15" x14ac:dyDescent="0.25">
      <c r="A35" s="21" t="s">
        <v>73</v>
      </c>
      <c r="C35" s="6">
        <v>10</v>
      </c>
      <c r="D35" t="s">
        <v>74</v>
      </c>
      <c r="E35" s="21"/>
      <c r="F35" s="21"/>
      <c r="G35" s="12">
        <f>J24</f>
        <v>14.942275653567691</v>
      </c>
      <c r="H35" s="15" t="s">
        <v>40</v>
      </c>
      <c r="I35" s="14">
        <f>C35</f>
        <v>10</v>
      </c>
      <c r="J35" s="77" t="str">
        <f>CONCATENATE(" ) ^",TEXT(G7,"##.0##")," some")</f>
        <v xml:space="preserve"> ) ^1.6 some</v>
      </c>
      <c r="K35" s="22"/>
      <c r="L35" s="24">
        <f>(G35/I35)^G7-1</f>
        <v>0.90137067010552441</v>
      </c>
      <c r="M35" s="18" t="s">
        <v>100</v>
      </c>
      <c r="N35" s="21"/>
      <c r="O35" s="21"/>
    </row>
    <row r="36" spans="1:15" x14ac:dyDescent="0.25">
      <c r="A36" t="s">
        <v>75</v>
      </c>
      <c r="C36" s="23">
        <f>EXP(-PI()/2*SQRT(1/(C35^2-1)))</f>
        <v>0.8539599605881244</v>
      </c>
      <c r="D36" t="s">
        <v>76</v>
      </c>
    </row>
    <row r="37" spans="1:15" x14ac:dyDescent="0.25">
      <c r="C37" s="25"/>
    </row>
    <row r="38" spans="1:15" x14ac:dyDescent="0.25">
      <c r="A38" t="s">
        <v>15</v>
      </c>
    </row>
    <row r="39" spans="1:15" x14ac:dyDescent="0.25">
      <c r="A39" s="3"/>
    </row>
    <row r="40" spans="1:15" x14ac:dyDescent="0.25">
      <c r="A40" s="3" t="s">
        <v>16</v>
      </c>
    </row>
    <row r="41" spans="1:15" x14ac:dyDescent="0.25">
      <c r="A41" s="3" t="s">
        <v>17</v>
      </c>
    </row>
    <row r="43" spans="1:15" x14ac:dyDescent="0.25">
      <c r="A43" t="s">
        <v>92</v>
      </c>
    </row>
    <row r="44" spans="1:15" x14ac:dyDescent="0.25">
      <c r="A44" t="s">
        <v>93</v>
      </c>
    </row>
    <row r="45" spans="1:15" x14ac:dyDescent="0.25">
      <c r="A45" t="s">
        <v>94</v>
      </c>
    </row>
    <row r="47" spans="1:15" ht="18" x14ac:dyDescent="0.25">
      <c r="A47" s="2" t="s">
        <v>18</v>
      </c>
    </row>
    <row r="49" spans="1:16" x14ac:dyDescent="0.25">
      <c r="A49" s="4" t="s">
        <v>19</v>
      </c>
    </row>
    <row r="51" spans="1:16" x14ac:dyDescent="0.25">
      <c r="A51" t="s">
        <v>20</v>
      </c>
    </row>
    <row r="53" spans="1:16" x14ac:dyDescent="0.25">
      <c r="A53" t="s">
        <v>21</v>
      </c>
      <c r="D53" s="18" t="s">
        <v>95</v>
      </c>
    </row>
    <row r="55" spans="1:16" x14ac:dyDescent="0.25">
      <c r="A55" t="s">
        <v>22</v>
      </c>
    </row>
    <row r="57" spans="1:16" x14ac:dyDescent="0.25">
      <c r="A57" t="s">
        <v>23</v>
      </c>
    </row>
    <row r="59" spans="1:1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5" t="s">
        <v>97</v>
      </c>
      <c r="E60" s="5" t="s">
        <v>98</v>
      </c>
    </row>
  </sheetData>
  <pageMargins left="0.39370078740157483" right="0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FD2A00-81A2-4BEB-AA9C-AE18D0D35E3C}">
          <x14:formula1>
            <xm:f>Graphs!$O$32:$O$35</xm:f>
          </x14:formula1>
          <xm:sqref>G7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6"/>
  <sheetViews>
    <sheetView tabSelected="1" workbookViewId="0"/>
  </sheetViews>
  <sheetFormatPr baseColWidth="10" defaultRowHeight="15" x14ac:dyDescent="0.25"/>
  <sheetData>
    <row r="1" spans="1:1" ht="23.25" x14ac:dyDescent="0.25">
      <c r="A1" s="1" t="s">
        <v>0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7" spans="1:1" x14ac:dyDescent="0.25">
      <c r="A7" t="s">
        <v>1</v>
      </c>
    </row>
    <row r="9" spans="1:1" x14ac:dyDescent="0.25">
      <c r="A9" t="s">
        <v>2</v>
      </c>
    </row>
    <row r="10" spans="1:1" x14ac:dyDescent="0.25">
      <c r="A10" t="s">
        <v>3</v>
      </c>
    </row>
    <row r="11" spans="1:1" x14ac:dyDescent="0.25">
      <c r="A11" t="s">
        <v>4</v>
      </c>
    </row>
    <row r="12" spans="1:1" x14ac:dyDescent="0.25">
      <c r="A12" t="s">
        <v>5</v>
      </c>
    </row>
    <row r="13" spans="1:1" x14ac:dyDescent="0.25">
      <c r="A13" t="s">
        <v>6</v>
      </c>
    </row>
    <row r="14" spans="1:1" x14ac:dyDescent="0.25">
      <c r="A14" t="s">
        <v>7</v>
      </c>
    </row>
    <row r="16" spans="1:1" x14ac:dyDescent="0.25">
      <c r="A16" t="s">
        <v>8</v>
      </c>
    </row>
    <row r="18" spans="1:1" x14ac:dyDescent="0.25">
      <c r="A18" t="s">
        <v>9</v>
      </c>
    </row>
    <row r="20" spans="1:1" ht="18" x14ac:dyDescent="0.25">
      <c r="A20" s="2" t="s">
        <v>10</v>
      </c>
    </row>
    <row r="22" spans="1:1" x14ac:dyDescent="0.25">
      <c r="A22" t="s">
        <v>11</v>
      </c>
    </row>
    <row r="24" spans="1:1" x14ac:dyDescent="0.25">
      <c r="A24" t="s">
        <v>12</v>
      </c>
    </row>
    <row r="26" spans="1:1" x14ac:dyDescent="0.25">
      <c r="A26" t="s">
        <v>13</v>
      </c>
    </row>
    <row r="28" spans="1:1" x14ac:dyDescent="0.25">
      <c r="A28" t="s">
        <v>14</v>
      </c>
    </row>
    <row r="30" spans="1:1" x14ac:dyDescent="0.25">
      <c r="A30" t="s">
        <v>65</v>
      </c>
    </row>
    <row r="31" spans="1:1" x14ac:dyDescent="0.25">
      <c r="A31" t="s">
        <v>66</v>
      </c>
    </row>
    <row r="34" spans="1:1" x14ac:dyDescent="0.25">
      <c r="A34" t="s">
        <v>15</v>
      </c>
    </row>
    <row r="35" spans="1:1" x14ac:dyDescent="0.25">
      <c r="A35" s="3"/>
    </row>
    <row r="36" spans="1:1" x14ac:dyDescent="0.25">
      <c r="A36" s="3" t="s">
        <v>16</v>
      </c>
    </row>
    <row r="37" spans="1:1" x14ac:dyDescent="0.25">
      <c r="A37" s="3" t="s">
        <v>17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3" spans="1:1" ht="18" x14ac:dyDescent="0.25">
      <c r="A43" s="2" t="s">
        <v>18</v>
      </c>
    </row>
    <row r="45" spans="1:1" x14ac:dyDescent="0.25">
      <c r="A45" s="4" t="s">
        <v>19</v>
      </c>
    </row>
    <row r="47" spans="1:1" x14ac:dyDescent="0.25">
      <c r="A47" t="s">
        <v>20</v>
      </c>
    </row>
    <row r="49" spans="1:12" x14ac:dyDescent="0.25">
      <c r="A49" t="s">
        <v>21</v>
      </c>
    </row>
    <row r="51" spans="1:12" x14ac:dyDescent="0.25">
      <c r="A51" t="s">
        <v>22</v>
      </c>
    </row>
    <row r="53" spans="1:12" x14ac:dyDescent="0.25">
      <c r="A53" t="s">
        <v>23</v>
      </c>
    </row>
    <row r="55" spans="1:1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25">
      <c r="A56" s="5" t="s">
        <v>97</v>
      </c>
      <c r="D56" s="5" t="s">
        <v>98</v>
      </c>
    </row>
  </sheetData>
  <pageMargins left="0.39370078740157483" right="0" top="0.74803149606299213" bottom="0.7480314960629921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03"/>
  <sheetViews>
    <sheetView zoomScale="110" zoomScaleNormal="110" workbookViewId="0"/>
  </sheetViews>
  <sheetFormatPr baseColWidth="10" defaultRowHeight="15" x14ac:dyDescent="0.25"/>
  <cols>
    <col min="18" max="18" width="13.5703125" customWidth="1"/>
  </cols>
  <sheetData>
    <row r="1" spans="1:35" ht="23.25" x14ac:dyDescent="0.35">
      <c r="C1" s="29" t="s">
        <v>99</v>
      </c>
    </row>
    <row r="3" spans="1:35" x14ac:dyDescent="0.25">
      <c r="A3" s="30" t="s">
        <v>85</v>
      </c>
      <c r="B3" s="46"/>
      <c r="J3" s="30" t="s">
        <v>114</v>
      </c>
      <c r="K3" s="28"/>
      <c r="L3" s="46"/>
      <c r="U3" s="30" t="s">
        <v>86</v>
      </c>
      <c r="V3" s="28"/>
      <c r="W3" s="46"/>
      <c r="X3" s="30" t="s">
        <v>86</v>
      </c>
      <c r="Y3" s="28"/>
      <c r="Z3" s="46"/>
      <c r="AA3" s="30" t="s">
        <v>86</v>
      </c>
      <c r="AB3" s="28"/>
      <c r="AC3" s="28"/>
      <c r="AD3" s="66" t="s">
        <v>103</v>
      </c>
    </row>
    <row r="4" spans="1:35" x14ac:dyDescent="0.25">
      <c r="A4" s="34"/>
      <c r="B4" s="42"/>
      <c r="J4" s="31" t="s">
        <v>115</v>
      </c>
      <c r="K4" s="32"/>
      <c r="L4" s="42"/>
      <c r="U4" s="31" t="s">
        <v>118</v>
      </c>
      <c r="V4" s="32"/>
      <c r="W4" s="42"/>
      <c r="X4" s="31" t="s">
        <v>117</v>
      </c>
      <c r="Y4" s="32"/>
      <c r="Z4" s="42"/>
      <c r="AA4" s="31" t="s">
        <v>116</v>
      </c>
      <c r="AB4" s="32"/>
      <c r="AC4" s="32"/>
      <c r="AD4" s="67" t="s">
        <v>83</v>
      </c>
    </row>
    <row r="5" spans="1:35" x14ac:dyDescent="0.25">
      <c r="A5" s="35" t="s">
        <v>79</v>
      </c>
      <c r="B5" s="33" t="s">
        <v>82</v>
      </c>
      <c r="J5" s="34"/>
      <c r="K5" s="32"/>
      <c r="L5" s="42"/>
      <c r="U5" s="34"/>
      <c r="V5" s="32"/>
      <c r="W5" s="42"/>
      <c r="X5" s="34"/>
      <c r="Y5" s="32"/>
      <c r="Z5" s="42"/>
      <c r="AA5" s="34"/>
      <c r="AB5" s="32"/>
      <c r="AC5" s="32"/>
      <c r="AD5" s="67" t="s">
        <v>84</v>
      </c>
    </row>
    <row r="6" spans="1:35" x14ac:dyDescent="0.25">
      <c r="A6" s="35" t="s">
        <v>80</v>
      </c>
      <c r="B6" s="33" t="s">
        <v>83</v>
      </c>
      <c r="J6" s="35" t="s">
        <v>80</v>
      </c>
      <c r="K6" s="65" t="str">
        <f>CONCATENATE("^",TEXT(K29,"##.0##")," Life")</f>
        <v>^1.6 Life</v>
      </c>
      <c r="L6" s="42"/>
      <c r="U6" s="35" t="s">
        <v>80</v>
      </c>
      <c r="V6" s="65" t="str">
        <f>CONCATENATE("^",TEXT(V29,"##.0##")," Life")</f>
        <v>^2.0 Life</v>
      </c>
      <c r="W6" s="42"/>
      <c r="X6" s="35" t="s">
        <v>80</v>
      </c>
      <c r="Y6" s="65" t="str">
        <f>CONCATENATE("^",TEXT(Y29,"##.0##")," Life")</f>
        <v>^2.6 Life</v>
      </c>
      <c r="Z6" s="42"/>
      <c r="AA6" s="35" t="s">
        <v>80</v>
      </c>
      <c r="AB6" s="65" t="str">
        <f>CONCATENATE("^",TEXT(AB29,"##.0##")," Life")</f>
        <v>^2.8 Life</v>
      </c>
      <c r="AC6" s="32"/>
      <c r="AD6" s="67" t="s">
        <v>107</v>
      </c>
      <c r="AH6" s="36"/>
      <c r="AI6" s="32"/>
    </row>
    <row r="7" spans="1:35" x14ac:dyDescent="0.25">
      <c r="A7" s="35" t="s">
        <v>81</v>
      </c>
      <c r="B7" s="33" t="s">
        <v>84</v>
      </c>
      <c r="J7" s="35" t="s">
        <v>87</v>
      </c>
      <c r="K7" s="36" t="s">
        <v>83</v>
      </c>
      <c r="L7" s="33" t="s">
        <v>91</v>
      </c>
      <c r="U7" s="35" t="s">
        <v>87</v>
      </c>
      <c r="V7" s="36" t="s">
        <v>83</v>
      </c>
      <c r="W7" s="33" t="s">
        <v>91</v>
      </c>
      <c r="X7" s="35" t="s">
        <v>87</v>
      </c>
      <c r="Y7" s="36" t="s">
        <v>83</v>
      </c>
      <c r="Z7" s="33" t="s">
        <v>91</v>
      </c>
      <c r="AA7" s="35" t="s">
        <v>87</v>
      </c>
      <c r="AB7" s="36" t="s">
        <v>83</v>
      </c>
      <c r="AC7" s="36" t="s">
        <v>91</v>
      </c>
      <c r="AD7" s="68" t="s">
        <v>104</v>
      </c>
      <c r="AH7" s="58"/>
      <c r="AI7" s="32"/>
    </row>
    <row r="8" spans="1:35" x14ac:dyDescent="0.25">
      <c r="A8" s="37">
        <v>0.15</v>
      </c>
      <c r="B8" s="50">
        <f t="shared" ref="B8:B17" si="0">(1/A8)^7.5</f>
        <v>1511177.7726399906</v>
      </c>
      <c r="J8" s="35" t="s">
        <v>88</v>
      </c>
      <c r="K8" s="36" t="s">
        <v>84</v>
      </c>
      <c r="L8" s="42"/>
      <c r="U8" s="35" t="s">
        <v>88</v>
      </c>
      <c r="V8" s="36" t="s">
        <v>84</v>
      </c>
      <c r="W8" s="42"/>
      <c r="X8" s="35" t="s">
        <v>88</v>
      </c>
      <c r="Y8" s="36" t="s">
        <v>84</v>
      </c>
      <c r="Z8" s="42"/>
      <c r="AA8" s="35" t="s">
        <v>88</v>
      </c>
      <c r="AB8" s="36" t="s">
        <v>84</v>
      </c>
      <c r="AC8" s="32"/>
      <c r="AD8" s="68" t="s">
        <v>105</v>
      </c>
      <c r="AE8" s="36" t="s">
        <v>111</v>
      </c>
      <c r="AF8" s="36" t="s">
        <v>110</v>
      </c>
      <c r="AH8" s="58"/>
      <c r="AI8" s="32"/>
    </row>
    <row r="9" spans="1:35" x14ac:dyDescent="0.25">
      <c r="A9" s="37">
        <v>0.2</v>
      </c>
      <c r="B9" s="50">
        <f t="shared" si="0"/>
        <v>174692.81074217102</v>
      </c>
      <c r="J9" s="37">
        <v>0.15</v>
      </c>
      <c r="K9" s="38">
        <f t="shared" ref="K9:K22" si="1">(L$29/L9)^$K$29</f>
        <v>1.1248282268319749</v>
      </c>
      <c r="L9" s="47">
        <f t="shared" ref="L9:L26" si="2">SQRT(1+1/(2/PI()*LN(J9))^2)</f>
        <v>1.2982940332990562</v>
      </c>
      <c r="U9" s="37">
        <v>0.15</v>
      </c>
      <c r="V9" s="62">
        <f t="shared" ref="V9:V23" si="3">(W$29/W9)^$V$29</f>
        <v>1.1583978897136236</v>
      </c>
      <c r="W9" s="47">
        <f t="shared" ref="W9:W26" si="4">SQRT(1+1/(2/PI()*LN(U9))^2)</f>
        <v>1.2982940332990562</v>
      </c>
      <c r="X9" s="37">
        <v>0.15</v>
      </c>
      <c r="Y9" s="38">
        <f t="shared" ref="Y9:Y22" si="5">(Z$29/Z9)^$Y$29</f>
        <v>1.2106401837783929</v>
      </c>
      <c r="Z9" s="47">
        <f t="shared" ref="Z9:Z26" si="6">SQRT(1+1/(2/PI()*LN(X9))^2)</f>
        <v>1.2982940332990562</v>
      </c>
      <c r="AA9" s="37">
        <v>0.15</v>
      </c>
      <c r="AB9" s="38">
        <f>(AC$29/AC9)^AB29</f>
        <v>1.2285727002508975</v>
      </c>
      <c r="AC9" s="39">
        <f t="shared" ref="AC9:AC26" si="7">SQRT(1+1/(2/PI()*LN(AA9))^2)</f>
        <v>1.2982940332990562</v>
      </c>
      <c r="AD9" s="69"/>
      <c r="AH9" s="38"/>
      <c r="AI9" s="32"/>
    </row>
    <row r="10" spans="1:35" x14ac:dyDescent="0.25">
      <c r="A10" s="37">
        <v>0.25</v>
      </c>
      <c r="B10" s="33">
        <f t="shared" si="0"/>
        <v>32767.999999999985</v>
      </c>
      <c r="J10" s="40">
        <v>0.2</v>
      </c>
      <c r="K10" s="38">
        <f t="shared" si="1"/>
        <v>1</v>
      </c>
      <c r="L10" s="48">
        <f t="shared" si="2"/>
        <v>1.3973395133391762</v>
      </c>
      <c r="U10" s="40">
        <v>0.2</v>
      </c>
      <c r="V10" s="62">
        <f t="shared" si="3"/>
        <v>1</v>
      </c>
      <c r="W10" s="48">
        <f t="shared" si="4"/>
        <v>1.3973395133391762</v>
      </c>
      <c r="X10" s="40">
        <v>0.2</v>
      </c>
      <c r="Y10" s="38">
        <f t="shared" si="5"/>
        <v>1</v>
      </c>
      <c r="Z10" s="48">
        <f t="shared" si="6"/>
        <v>1.3973395133391762</v>
      </c>
      <c r="AA10" s="40">
        <v>0.2</v>
      </c>
      <c r="AB10" s="38">
        <f t="shared" ref="AB10:AB25" si="8">(AC$29/AC10)^$AB$29</f>
        <v>1</v>
      </c>
      <c r="AC10" s="41">
        <f t="shared" si="7"/>
        <v>1.3973395133391762</v>
      </c>
      <c r="AD10" s="67">
        <v>1</v>
      </c>
      <c r="AE10" s="61">
        <f>AB10-AD10</f>
        <v>0</v>
      </c>
      <c r="AF10">
        <f>AE10*AE10</f>
        <v>0</v>
      </c>
      <c r="AH10" s="38"/>
      <c r="AI10" s="32"/>
    </row>
    <row r="11" spans="1:35" x14ac:dyDescent="0.25">
      <c r="A11" s="37">
        <v>0.3</v>
      </c>
      <c r="B11" s="51">
        <f t="shared" si="0"/>
        <v>8348.1566454072054</v>
      </c>
      <c r="J11" s="37">
        <v>0.25</v>
      </c>
      <c r="K11" s="38">
        <f t="shared" si="1"/>
        <v>0.88215011880930094</v>
      </c>
      <c r="L11" s="47">
        <f t="shared" si="2"/>
        <v>1.5112554477822366</v>
      </c>
      <c r="U11" s="37">
        <v>0.25</v>
      </c>
      <c r="V11" s="62">
        <f t="shared" si="3"/>
        <v>0.85492520499649993</v>
      </c>
      <c r="W11" s="47">
        <f t="shared" si="4"/>
        <v>1.5112554477822366</v>
      </c>
      <c r="X11" s="37">
        <v>0.25</v>
      </c>
      <c r="Y11" s="38">
        <f t="shared" si="5"/>
        <v>0.81565510286035026</v>
      </c>
      <c r="Z11" s="47">
        <f t="shared" si="6"/>
        <v>1.5112554477822366</v>
      </c>
      <c r="AA11" s="37">
        <v>0.25</v>
      </c>
      <c r="AB11" s="38">
        <f t="shared" si="8"/>
        <v>0.80297009223088878</v>
      </c>
      <c r="AC11" s="39">
        <f t="shared" si="7"/>
        <v>1.5112554477822366</v>
      </c>
      <c r="AD11" s="67">
        <v>0.72</v>
      </c>
      <c r="AE11" s="61">
        <f t="shared" ref="AE11:AE22" si="9">AB11-AD11</f>
        <v>8.2970092230888803E-2</v>
      </c>
      <c r="AF11">
        <f t="shared" ref="AF11:AF22" si="10">AE11*AE11</f>
        <v>6.8840362048021948E-3</v>
      </c>
      <c r="AH11" s="38"/>
      <c r="AI11" s="32"/>
    </row>
    <row r="12" spans="1:35" x14ac:dyDescent="0.25">
      <c r="A12" s="37">
        <v>0.35</v>
      </c>
      <c r="B12" s="51">
        <f t="shared" si="0"/>
        <v>2627.1790205308066</v>
      </c>
      <c r="J12" s="37">
        <v>0.3</v>
      </c>
      <c r="K12" s="38">
        <f t="shared" si="1"/>
        <v>0.77110092116957596</v>
      </c>
      <c r="L12" s="47">
        <f t="shared" si="2"/>
        <v>1.6438319841825981</v>
      </c>
      <c r="U12" s="37">
        <v>0.3</v>
      </c>
      <c r="V12" s="62">
        <f t="shared" si="3"/>
        <v>0.72258514231211057</v>
      </c>
      <c r="W12" s="47">
        <f t="shared" si="4"/>
        <v>1.6438319841825981</v>
      </c>
      <c r="X12" s="37">
        <v>0.3</v>
      </c>
      <c r="Y12" s="38">
        <f t="shared" si="5"/>
        <v>0.65547440145366909</v>
      </c>
      <c r="Z12" s="47">
        <f t="shared" si="6"/>
        <v>1.6438319841825981</v>
      </c>
      <c r="AA12" s="37">
        <v>0.3</v>
      </c>
      <c r="AB12" s="38">
        <f t="shared" si="8"/>
        <v>0.63451901063857663</v>
      </c>
      <c r="AC12" s="39">
        <f t="shared" si="7"/>
        <v>1.6438319841825981</v>
      </c>
      <c r="AD12" s="67">
        <v>0.54500000000000004</v>
      </c>
      <c r="AE12" s="61">
        <f t="shared" si="9"/>
        <v>8.951901063857659E-2</v>
      </c>
      <c r="AF12">
        <f t="shared" si="10"/>
        <v>8.0136532657095888E-3</v>
      </c>
      <c r="AH12" s="38"/>
      <c r="AI12" s="32"/>
    </row>
    <row r="13" spans="1:35" x14ac:dyDescent="0.25">
      <c r="A13" s="37">
        <v>0.4</v>
      </c>
      <c r="B13" s="52">
        <f t="shared" si="0"/>
        <v>965.05055547130701</v>
      </c>
      <c r="J13" s="37">
        <v>0.35</v>
      </c>
      <c r="K13" s="38">
        <f t="shared" si="1"/>
        <v>0.66708267702899271</v>
      </c>
      <c r="L13" s="47">
        <f t="shared" si="2"/>
        <v>1.7996566299092047</v>
      </c>
      <c r="U13" s="37">
        <v>0.35</v>
      </c>
      <c r="V13" s="62">
        <f t="shared" si="3"/>
        <v>0.60287125713225376</v>
      </c>
      <c r="W13" s="47">
        <f t="shared" si="4"/>
        <v>1.7996566299092047</v>
      </c>
      <c r="X13" s="37">
        <v>0.35</v>
      </c>
      <c r="Y13" s="38">
        <f t="shared" si="5"/>
        <v>0.5179549075001687</v>
      </c>
      <c r="Z13" s="47">
        <f t="shared" si="6"/>
        <v>1.7996566299092047</v>
      </c>
      <c r="AA13" s="37">
        <v>0.35</v>
      </c>
      <c r="AB13" s="38">
        <f t="shared" si="8"/>
        <v>0.49239587966542625</v>
      </c>
      <c r="AC13" s="39">
        <f t="shared" si="7"/>
        <v>1.7996566299092047</v>
      </c>
      <c r="AD13" s="67">
        <v>0.4</v>
      </c>
      <c r="AE13" s="61">
        <f t="shared" si="9"/>
        <v>9.2395879665426228E-2</v>
      </c>
      <c r="AF13">
        <f t="shared" si="10"/>
        <v>8.5369985791479246E-3</v>
      </c>
      <c r="AH13" s="38"/>
      <c r="AI13" s="32"/>
    </row>
    <row r="14" spans="1:35" x14ac:dyDescent="0.25">
      <c r="A14" s="37">
        <v>0.45</v>
      </c>
      <c r="B14" s="52">
        <f t="shared" si="0"/>
        <v>398.93868030501977</v>
      </c>
      <c r="J14" s="37">
        <v>0.4</v>
      </c>
      <c r="K14" s="38">
        <f t="shared" si="1"/>
        <v>0.5704138857867268</v>
      </c>
      <c r="L14" s="47">
        <f t="shared" si="2"/>
        <v>1.9846463706259678</v>
      </c>
      <c r="U14" s="37">
        <v>0.4</v>
      </c>
      <c r="V14" s="62">
        <f t="shared" si="3"/>
        <v>0.49572133596465068</v>
      </c>
      <c r="W14" s="47">
        <f t="shared" si="4"/>
        <v>1.9846463706259678</v>
      </c>
      <c r="X14" s="37">
        <v>0.4</v>
      </c>
      <c r="Y14" s="38">
        <f t="shared" si="5"/>
        <v>0.40161404740116791</v>
      </c>
      <c r="Z14" s="47">
        <f t="shared" si="6"/>
        <v>1.9846463706259678</v>
      </c>
      <c r="AA14" s="37">
        <v>0.4</v>
      </c>
      <c r="AB14" s="38">
        <f t="shared" si="8"/>
        <v>0.37439725508592314</v>
      </c>
      <c r="AC14" s="39">
        <f t="shared" si="7"/>
        <v>1.9846463706259678</v>
      </c>
      <c r="AD14" s="67">
        <v>0.28999999999999998</v>
      </c>
      <c r="AE14" s="61">
        <f t="shared" si="9"/>
        <v>8.4397255085923162E-2</v>
      </c>
      <c r="AF14">
        <f t="shared" si="10"/>
        <v>7.1228966660383834E-3</v>
      </c>
      <c r="AH14" s="38"/>
      <c r="AI14" s="32"/>
    </row>
    <row r="15" spans="1:35" x14ac:dyDescent="0.25">
      <c r="A15" s="37">
        <v>0.5</v>
      </c>
      <c r="B15" s="52">
        <f t="shared" si="0"/>
        <v>181.01933598375612</v>
      </c>
      <c r="J15" s="37">
        <v>0.45</v>
      </c>
      <c r="K15" s="38">
        <f t="shared" si="1"/>
        <v>0.48136957852204287</v>
      </c>
      <c r="L15" s="47">
        <f t="shared" si="2"/>
        <v>2.2067482445486024</v>
      </c>
      <c r="U15" s="37">
        <v>0.45</v>
      </c>
      <c r="V15" s="62">
        <f t="shared" si="3"/>
        <v>0.40095746214456185</v>
      </c>
      <c r="W15" s="47">
        <f t="shared" si="4"/>
        <v>2.2067482445486024</v>
      </c>
      <c r="X15" s="37">
        <v>0.45</v>
      </c>
      <c r="Y15" s="38">
        <f t="shared" si="5"/>
        <v>0.30480900313386938</v>
      </c>
      <c r="Z15" s="47">
        <f t="shared" si="6"/>
        <v>2.2067482445486024</v>
      </c>
      <c r="AA15" s="37">
        <v>0.45</v>
      </c>
      <c r="AB15" s="38">
        <f t="shared" si="8"/>
        <v>0.27818750577704343</v>
      </c>
      <c r="AC15" s="39">
        <f t="shared" si="7"/>
        <v>2.2067482445486024</v>
      </c>
      <c r="AD15" s="67">
        <v>0.22</v>
      </c>
      <c r="AE15" s="61">
        <f t="shared" si="9"/>
        <v>5.818750577704343E-2</v>
      </c>
      <c r="AF15">
        <f t="shared" si="10"/>
        <v>3.3857858285534625E-3</v>
      </c>
      <c r="AH15" s="38"/>
      <c r="AI15" s="32"/>
    </row>
    <row r="16" spans="1:35" x14ac:dyDescent="0.25">
      <c r="A16" s="37">
        <v>0.55000000000000004</v>
      </c>
      <c r="B16" s="53">
        <f t="shared" si="0"/>
        <v>88.568609979657893</v>
      </c>
      <c r="J16" s="37">
        <v>0.5</v>
      </c>
      <c r="K16" s="38">
        <f t="shared" si="1"/>
        <v>0.4001281002048272</v>
      </c>
      <c r="L16" s="47">
        <f t="shared" si="2"/>
        <v>2.4770087028119128</v>
      </c>
      <c r="U16" s="37">
        <v>0.5</v>
      </c>
      <c r="V16" s="62">
        <f t="shared" si="3"/>
        <v>0.31823563953317713</v>
      </c>
      <c r="W16" s="47">
        <f t="shared" si="4"/>
        <v>2.4770087028119128</v>
      </c>
      <c r="X16" s="37">
        <v>0.5</v>
      </c>
      <c r="Y16" s="38">
        <f t="shared" si="5"/>
        <v>0.22572177650358366</v>
      </c>
      <c r="Z16" s="47">
        <f t="shared" si="6"/>
        <v>2.4770087028119128</v>
      </c>
      <c r="AA16" s="37">
        <v>0.5</v>
      </c>
      <c r="AB16" s="38">
        <f t="shared" si="8"/>
        <v>0.20130211652593827</v>
      </c>
      <c r="AC16" s="39">
        <f t="shared" si="7"/>
        <v>2.4770087028119128</v>
      </c>
      <c r="AD16" s="67">
        <v>0.16</v>
      </c>
      <c r="AE16" s="61">
        <f t="shared" si="9"/>
        <v>4.1302116525938265E-2</v>
      </c>
      <c r="AF16">
        <f t="shared" si="10"/>
        <v>1.7058648295221828E-3</v>
      </c>
      <c r="AH16" s="38"/>
      <c r="AI16" s="32"/>
    </row>
    <row r="17" spans="1:35" x14ac:dyDescent="0.25">
      <c r="A17" s="37">
        <v>0.6</v>
      </c>
      <c r="B17" s="53">
        <f t="shared" si="0"/>
        <v>46.117485737304463</v>
      </c>
      <c r="J17" s="37">
        <v>0.55000000000000004</v>
      </c>
      <c r="K17" s="38">
        <f t="shared" si="1"/>
        <v>0.32675643796100673</v>
      </c>
      <c r="L17" s="47">
        <f t="shared" si="2"/>
        <v>2.8113301120606091</v>
      </c>
      <c r="U17" s="37">
        <v>0.55000000000000004</v>
      </c>
      <c r="V17" s="62">
        <f t="shared" si="3"/>
        <v>0.2470473452452315</v>
      </c>
      <c r="W17" s="47">
        <f t="shared" si="4"/>
        <v>2.8113301120606091</v>
      </c>
      <c r="X17" s="37">
        <v>0.55000000000000004</v>
      </c>
      <c r="Y17" s="38">
        <f t="shared" si="5"/>
        <v>0.16241055436432231</v>
      </c>
      <c r="Z17" s="47">
        <f t="shared" si="6"/>
        <v>2.8113301120606091</v>
      </c>
      <c r="AA17" s="37">
        <v>0.55000000000000004</v>
      </c>
      <c r="AB17" s="38">
        <f t="shared" si="8"/>
        <v>0.14121871906964825</v>
      </c>
      <c r="AC17" s="39">
        <f t="shared" si="7"/>
        <v>2.8113301120606091</v>
      </c>
      <c r="AD17" s="67">
        <v>0.11</v>
      </c>
      <c r="AE17" s="61">
        <f t="shared" si="9"/>
        <v>3.1218719069648251E-2</v>
      </c>
      <c r="AF17">
        <f t="shared" si="10"/>
        <v>9.7460842034961933E-4</v>
      </c>
      <c r="AH17" s="38"/>
      <c r="AI17" s="32"/>
    </row>
    <row r="18" spans="1:35" x14ac:dyDescent="0.25">
      <c r="A18" s="37">
        <v>0.65</v>
      </c>
      <c r="B18" s="53">
        <f>(1/A18)^7.5</f>
        <v>25.301707174081375</v>
      </c>
      <c r="J18" s="37">
        <v>0.6</v>
      </c>
      <c r="K18" s="38">
        <f t="shared" si="1"/>
        <v>0.26121619033715354</v>
      </c>
      <c r="L18" s="47">
        <f t="shared" si="2"/>
        <v>3.2335299134410227</v>
      </c>
      <c r="U18" s="37">
        <v>0.6</v>
      </c>
      <c r="V18" s="62">
        <f t="shared" si="3"/>
        <v>0.18674548652180753</v>
      </c>
      <c r="W18" s="47">
        <f t="shared" si="4"/>
        <v>3.2335299134410227</v>
      </c>
      <c r="X18" s="37">
        <v>0.6</v>
      </c>
      <c r="Y18" s="38">
        <f t="shared" si="5"/>
        <v>0.11288211770201372</v>
      </c>
      <c r="Z18" s="47">
        <f t="shared" si="6"/>
        <v>3.2335299134410227</v>
      </c>
      <c r="AA18" s="37">
        <v>0.6</v>
      </c>
      <c r="AB18" s="38">
        <f t="shared" si="8"/>
        <v>9.5444335732064525E-2</v>
      </c>
      <c r="AC18" s="39">
        <f t="shared" si="7"/>
        <v>3.2335299134410227</v>
      </c>
      <c r="AD18" s="67">
        <v>8.2000000000000003E-2</v>
      </c>
      <c r="AE18" s="61">
        <f t="shared" si="9"/>
        <v>1.3444335732064522E-2</v>
      </c>
      <c r="AF18">
        <f t="shared" si="10"/>
        <v>1.8075016327646689E-4</v>
      </c>
      <c r="AH18" s="38"/>
      <c r="AI18" s="32"/>
    </row>
    <row r="19" spans="1:35" x14ac:dyDescent="0.25">
      <c r="A19" s="37">
        <v>0.7</v>
      </c>
      <c r="B19" s="53">
        <f t="shared" ref="B19:B29" si="11">(1/A19)^7.5</f>
        <v>14.513250787565358</v>
      </c>
      <c r="J19" s="37">
        <v>0.65</v>
      </c>
      <c r="K19" s="38">
        <f t="shared" si="1"/>
        <v>0.20338088375728916</v>
      </c>
      <c r="L19" s="47">
        <f t="shared" si="2"/>
        <v>3.7810124610443054</v>
      </c>
      <c r="U19" s="37">
        <v>0.65</v>
      </c>
      <c r="V19" s="62">
        <f t="shared" si="3"/>
        <v>0.13658017432413061</v>
      </c>
      <c r="W19" s="47">
        <f t="shared" si="4"/>
        <v>3.7810124610443054</v>
      </c>
      <c r="X19" s="37">
        <v>0.65</v>
      </c>
      <c r="Y19" s="38">
        <f t="shared" si="5"/>
        <v>7.5162975012626351E-2</v>
      </c>
      <c r="Z19" s="47">
        <f t="shared" si="6"/>
        <v>3.7810124610443054</v>
      </c>
      <c r="AA19" s="37">
        <v>0.65</v>
      </c>
      <c r="AB19" s="38">
        <f t="shared" si="8"/>
        <v>6.1594612558242119E-2</v>
      </c>
      <c r="AC19" s="39">
        <f t="shared" si="7"/>
        <v>3.7810124610443054</v>
      </c>
      <c r="AD19" s="67">
        <v>5.7000000000000002E-2</v>
      </c>
      <c r="AE19" s="61">
        <f t="shared" si="9"/>
        <v>4.5946125582421171E-3</v>
      </c>
      <c r="AF19">
        <f t="shared" si="10"/>
        <v>2.1110464560356173E-5</v>
      </c>
      <c r="AH19" s="38"/>
      <c r="AI19" s="32"/>
    </row>
    <row r="20" spans="1:35" x14ac:dyDescent="0.25">
      <c r="A20" s="37">
        <v>0.75</v>
      </c>
      <c r="B20" s="47">
        <f t="shared" si="11"/>
        <v>8.6504863378169397</v>
      </c>
      <c r="J20" s="37">
        <v>0.7</v>
      </c>
      <c r="K20" s="38">
        <f t="shared" si="1"/>
        <v>0.15305957737191725</v>
      </c>
      <c r="L20" s="47">
        <f t="shared" si="2"/>
        <v>4.5161059421557095</v>
      </c>
      <c r="U20" s="37">
        <v>0.7</v>
      </c>
      <c r="V20" s="62">
        <f t="shared" si="3"/>
        <v>9.5736079194327875E-2</v>
      </c>
      <c r="W20" s="47">
        <f t="shared" si="4"/>
        <v>4.5161059421557095</v>
      </c>
      <c r="X20" s="37">
        <v>0.7</v>
      </c>
      <c r="Y20" s="38">
        <f t="shared" si="5"/>
        <v>4.7358542535581784E-2</v>
      </c>
      <c r="Z20" s="47">
        <f t="shared" si="6"/>
        <v>4.5161059421557095</v>
      </c>
      <c r="AA20" s="37">
        <v>0.7</v>
      </c>
      <c r="AB20" s="38">
        <f t="shared" si="8"/>
        <v>3.745466285739827E-2</v>
      </c>
      <c r="AC20" s="39">
        <f t="shared" si="7"/>
        <v>4.5161059421557095</v>
      </c>
      <c r="AD20" s="67">
        <v>3.7999999999999999E-2</v>
      </c>
      <c r="AE20" s="61">
        <f t="shared" si="9"/>
        <v>-5.4533714260172894E-4</v>
      </c>
      <c r="AF20">
        <f t="shared" si="10"/>
        <v>2.9739259910101847E-7</v>
      </c>
      <c r="AH20" s="38"/>
      <c r="AI20" s="32"/>
    </row>
    <row r="21" spans="1:35" x14ac:dyDescent="0.25">
      <c r="A21" s="37">
        <v>0.8</v>
      </c>
      <c r="B21" s="47">
        <f t="shared" si="11"/>
        <v>5.331201499700045</v>
      </c>
      <c r="J21" s="37">
        <v>0.75</v>
      </c>
      <c r="K21" s="38">
        <f t="shared" si="1"/>
        <v>0.11002448786080291</v>
      </c>
      <c r="L21" s="47">
        <f t="shared" si="2"/>
        <v>5.5509982792037649</v>
      </c>
      <c r="U21" s="37">
        <v>0.75</v>
      </c>
      <c r="V21" s="62">
        <f t="shared" si="3"/>
        <v>6.3366788130852628E-2</v>
      </c>
      <c r="W21" s="47">
        <f t="shared" si="4"/>
        <v>5.5509982792037649</v>
      </c>
      <c r="X21" s="37">
        <v>0.75</v>
      </c>
      <c r="Y21" s="62">
        <f t="shared" si="5"/>
        <v>2.7696201041672648E-2</v>
      </c>
      <c r="Z21" s="47">
        <f t="shared" si="6"/>
        <v>5.5509982792037649</v>
      </c>
      <c r="AA21" s="37">
        <v>0.75</v>
      </c>
      <c r="AB21" s="38">
        <f t="shared" si="8"/>
        <v>2.1018725211347827E-2</v>
      </c>
      <c r="AC21" s="39">
        <f t="shared" si="7"/>
        <v>5.5509982792037649</v>
      </c>
      <c r="AD21" s="67">
        <v>2.4E-2</v>
      </c>
      <c r="AE21" s="61">
        <f t="shared" si="9"/>
        <v>-2.9812747886521739E-3</v>
      </c>
      <c r="AF21">
        <f t="shared" si="10"/>
        <v>8.8879993654530639E-6</v>
      </c>
      <c r="AH21" s="38"/>
      <c r="AI21" s="32"/>
    </row>
    <row r="22" spans="1:35" x14ac:dyDescent="0.25">
      <c r="A22" s="37">
        <v>0.85</v>
      </c>
      <c r="B22" s="47">
        <f t="shared" si="11"/>
        <v>3.3834367106787413</v>
      </c>
      <c r="J22" s="37">
        <v>0.8</v>
      </c>
      <c r="K22" s="38">
        <f t="shared" si="1"/>
        <v>7.4043114549772859E-2</v>
      </c>
      <c r="L22" s="47">
        <f t="shared" si="2"/>
        <v>7.1100722822853033</v>
      </c>
      <c r="U22" s="37">
        <v>0.8</v>
      </c>
      <c r="V22" s="62">
        <f t="shared" si="3"/>
        <v>3.8623875479525331E-2</v>
      </c>
      <c r="W22" s="47">
        <f t="shared" si="4"/>
        <v>7.1100722822853033</v>
      </c>
      <c r="X22" s="37">
        <v>0.8</v>
      </c>
      <c r="Y22" s="62">
        <f t="shared" si="5"/>
        <v>1.4551662141167647E-2</v>
      </c>
      <c r="Z22" s="47">
        <f t="shared" si="6"/>
        <v>7.1100722822853033</v>
      </c>
      <c r="AA22" s="37">
        <v>0.8</v>
      </c>
      <c r="AB22" s="38">
        <f t="shared" si="8"/>
        <v>1.0509890411874811E-2</v>
      </c>
      <c r="AC22" s="39">
        <f t="shared" si="7"/>
        <v>7.1100722822853033</v>
      </c>
      <c r="AD22" s="67">
        <v>1.35E-2</v>
      </c>
      <c r="AE22" s="61">
        <f t="shared" si="9"/>
        <v>-2.9901095881251886E-3</v>
      </c>
      <c r="AF22">
        <f t="shared" si="10"/>
        <v>8.9407553489981854E-6</v>
      </c>
      <c r="AH22" s="38"/>
      <c r="AI22" s="32"/>
    </row>
    <row r="23" spans="1:35" x14ac:dyDescent="0.25">
      <c r="A23" s="37">
        <v>0.9</v>
      </c>
      <c r="B23" s="47">
        <f t="shared" si="11"/>
        <v>2.2038456728225926</v>
      </c>
      <c r="J23" s="37">
        <v>0.85</v>
      </c>
      <c r="K23" s="62">
        <f t="shared" ref="K23:K25" si="12">(L$29/L23)^$K$29</f>
        <v>4.4919845218879872E-2</v>
      </c>
      <c r="L23" s="47">
        <f t="shared" si="2"/>
        <v>9.7169067071678334</v>
      </c>
      <c r="U23" s="37">
        <v>0.85</v>
      </c>
      <c r="V23" s="62">
        <f t="shared" si="3"/>
        <v>2.0679870456996582E-2</v>
      </c>
      <c r="W23" s="47">
        <f t="shared" si="4"/>
        <v>9.7169067071678334</v>
      </c>
      <c r="X23" s="37">
        <v>0.85</v>
      </c>
      <c r="Y23" s="62">
        <f t="shared" ref="Y23:Y24" si="13">(Z$29/Z23)^$Y$29</f>
        <v>6.4596971597060491E-3</v>
      </c>
      <c r="Z23" s="47">
        <f t="shared" si="6"/>
        <v>9.7169067071678334</v>
      </c>
      <c r="AA23" s="37">
        <v>0.85</v>
      </c>
      <c r="AB23" s="62">
        <f t="shared" si="8"/>
        <v>4.3829542706617149E-3</v>
      </c>
      <c r="AC23" s="39">
        <f t="shared" si="7"/>
        <v>9.7169067071678334</v>
      </c>
      <c r="AD23" s="69"/>
      <c r="AE23" s="61"/>
      <c r="AH23" s="38"/>
      <c r="AI23" s="32"/>
    </row>
    <row r="24" spans="1:35" x14ac:dyDescent="0.25">
      <c r="A24" s="37">
        <v>0.95</v>
      </c>
      <c r="B24" s="47">
        <f t="shared" si="11"/>
        <v>1.4691730741349647</v>
      </c>
      <c r="J24" s="37">
        <v>0.9</v>
      </c>
      <c r="K24" s="62">
        <f t="shared" si="12"/>
        <v>2.2564011566275764E-2</v>
      </c>
      <c r="L24" s="47">
        <f t="shared" si="2"/>
        <v>14.942275653567691</v>
      </c>
      <c r="U24" s="37">
        <v>0.9</v>
      </c>
      <c r="V24" s="62">
        <f>(W$29/W24)^$V$29</f>
        <v>8.7452130078752629E-3</v>
      </c>
      <c r="W24" s="47">
        <f t="shared" si="4"/>
        <v>14.942275653567691</v>
      </c>
      <c r="X24" s="37">
        <v>0.9</v>
      </c>
      <c r="Y24" s="62">
        <f t="shared" si="13"/>
        <v>2.1100925770614573E-3</v>
      </c>
      <c r="Z24" s="47">
        <f t="shared" si="6"/>
        <v>14.942275653567691</v>
      </c>
      <c r="AA24" s="37">
        <v>0.9</v>
      </c>
      <c r="AB24" s="62">
        <f t="shared" si="8"/>
        <v>1.31364660851186E-3</v>
      </c>
      <c r="AC24" s="39">
        <f t="shared" si="7"/>
        <v>14.942275653567691</v>
      </c>
      <c r="AD24" s="69"/>
    </row>
    <row r="25" spans="1:35" x14ac:dyDescent="0.25">
      <c r="A25" s="40">
        <v>1</v>
      </c>
      <c r="B25" s="54">
        <f t="shared" si="11"/>
        <v>1</v>
      </c>
      <c r="J25" s="37">
        <v>0.95</v>
      </c>
      <c r="K25" s="62">
        <f t="shared" si="12"/>
        <v>7.151843046605248E-3</v>
      </c>
      <c r="L25" s="47">
        <f t="shared" si="2"/>
        <v>30.640137202952623</v>
      </c>
      <c r="U25" s="37">
        <v>0.95</v>
      </c>
      <c r="V25" s="62">
        <f>(W$29/W25)^$V$29</f>
        <v>2.0798042850517476E-3</v>
      </c>
      <c r="W25" s="47">
        <f t="shared" si="4"/>
        <v>30.640137202952623</v>
      </c>
      <c r="X25" s="37">
        <v>0.95</v>
      </c>
      <c r="Y25" s="62">
        <f>(Z$29/Z25)^$Y$29</f>
        <v>3.2615888160117379E-4</v>
      </c>
      <c r="Z25" s="47">
        <f t="shared" si="6"/>
        <v>30.640137202952623</v>
      </c>
      <c r="AA25" s="37">
        <v>0.95</v>
      </c>
      <c r="AB25" s="62">
        <f t="shared" si="8"/>
        <v>1.758860744482002E-4</v>
      </c>
      <c r="AC25" s="39">
        <f t="shared" si="7"/>
        <v>30.640137202952623</v>
      </c>
      <c r="AD25" s="69"/>
    </row>
    <row r="26" spans="1:35" x14ac:dyDescent="0.25">
      <c r="A26" s="37">
        <v>1.05</v>
      </c>
      <c r="B26" s="47">
        <f t="shared" si="11"/>
        <v>0.69355396191714591</v>
      </c>
      <c r="J26" s="37">
        <v>0.99</v>
      </c>
      <c r="K26" s="62">
        <f>(L$29/L26)^$K$29</f>
        <v>5.2743141978448655E-4</v>
      </c>
      <c r="L26" s="47">
        <f t="shared" si="2"/>
        <v>156.29611802094132</v>
      </c>
      <c r="U26" s="37">
        <v>0.99</v>
      </c>
      <c r="V26" s="62">
        <f>(W$29/W26)^$V$29</f>
        <v>7.9929573785179648E-5</v>
      </c>
      <c r="W26" s="47">
        <f t="shared" si="4"/>
        <v>156.29611802094132</v>
      </c>
      <c r="X26" s="37">
        <v>0.99</v>
      </c>
      <c r="Y26" s="62">
        <f>(Z$29/Z26)^$Y$29</f>
        <v>4.715413106694681E-6</v>
      </c>
      <c r="Z26" s="47">
        <f t="shared" si="6"/>
        <v>156.29611802094132</v>
      </c>
      <c r="AA26" s="37">
        <v>0.99</v>
      </c>
      <c r="AB26" s="62">
        <f>(AC$29/AC26)^$AB$29</f>
        <v>1.8356526095224891E-6</v>
      </c>
      <c r="AC26" s="39">
        <f t="shared" si="7"/>
        <v>156.29611802094132</v>
      </c>
      <c r="AD26" s="69"/>
    </row>
    <row r="27" spans="1:35" x14ac:dyDescent="0.25">
      <c r="A27" s="37">
        <v>1.1000000000000001</v>
      </c>
      <c r="B27" s="47">
        <f t="shared" si="11"/>
        <v>0.48927706810064536</v>
      </c>
      <c r="J27" s="34"/>
      <c r="K27" s="32"/>
      <c r="L27" s="42"/>
      <c r="U27" s="34"/>
      <c r="W27" s="42"/>
      <c r="X27" s="34"/>
      <c r="Y27" s="63"/>
      <c r="Z27" s="42"/>
      <c r="AA27" s="34"/>
      <c r="AB27" s="32"/>
      <c r="AC27" s="32"/>
      <c r="AD27" s="70"/>
    </row>
    <row r="28" spans="1:35" x14ac:dyDescent="0.25">
      <c r="A28" s="37">
        <v>1.1499999999999999</v>
      </c>
      <c r="B28" s="47">
        <f t="shared" si="11"/>
        <v>0.35056309732391472</v>
      </c>
      <c r="J28" s="37" t="s">
        <v>113</v>
      </c>
      <c r="K28" s="39" t="s">
        <v>101</v>
      </c>
      <c r="L28" s="47" t="s">
        <v>90</v>
      </c>
      <c r="U28" s="37" t="s">
        <v>113</v>
      </c>
      <c r="V28" s="39" t="s">
        <v>101</v>
      </c>
      <c r="W28" s="47" t="s">
        <v>90</v>
      </c>
      <c r="X28" s="37" t="s">
        <v>113</v>
      </c>
      <c r="Y28" s="39" t="s">
        <v>101</v>
      </c>
      <c r="Z28" s="47" t="s">
        <v>90</v>
      </c>
      <c r="AA28" s="37" t="s">
        <v>113</v>
      </c>
      <c r="AB28" s="39" t="s">
        <v>101</v>
      </c>
      <c r="AC28" s="39" t="s">
        <v>90</v>
      </c>
      <c r="AD28" s="67" t="s">
        <v>102</v>
      </c>
      <c r="AF28" s="36" t="s">
        <v>102</v>
      </c>
    </row>
    <row r="29" spans="1:35" x14ac:dyDescent="0.25">
      <c r="A29" s="43">
        <v>1.2</v>
      </c>
      <c r="B29" s="49">
        <f t="shared" si="11"/>
        <v>0.25476552262595209</v>
      </c>
      <c r="J29" s="43">
        <v>0.2</v>
      </c>
      <c r="K29" s="64">
        <v>1.6</v>
      </c>
      <c r="L29" s="49">
        <f>SQRT(1+1/(2/PI()*LN(J29))^2)</f>
        <v>1.3973395133391762</v>
      </c>
      <c r="U29" s="43">
        <v>0.2</v>
      </c>
      <c r="V29" s="64">
        <v>2</v>
      </c>
      <c r="W29" s="49">
        <f>SQRT(1+1/(2/PI()*LN(U29))^2)</f>
        <v>1.3973395133391762</v>
      </c>
      <c r="X29" s="43">
        <v>0.2</v>
      </c>
      <c r="Y29" s="64">
        <v>2.6</v>
      </c>
      <c r="Z29" s="49">
        <f>SQRT(1+1/(2/PI()*LN(X29))^2)</f>
        <v>1.3973395133391762</v>
      </c>
      <c r="AA29" s="43">
        <v>0.2</v>
      </c>
      <c r="AB29" s="64">
        <v>2.8</v>
      </c>
      <c r="AC29" s="44">
        <f>SQRT(1+1/(2/PI()*LN(AA29))^2)</f>
        <v>1.3973395133391762</v>
      </c>
      <c r="AD29" s="71">
        <f>DEVSQ(AD10:AD23,AB10:AB23)</f>
        <v>2.4785859917154851</v>
      </c>
      <c r="AF29">
        <f>SUM(AF10:AF23)</f>
        <v>3.6843830569273726E-2</v>
      </c>
    </row>
    <row r="30" spans="1:35" ht="15.75" thickBot="1" x14ac:dyDescent="0.3">
      <c r="J30" s="26"/>
      <c r="K30" s="27"/>
      <c r="S30" s="26"/>
      <c r="T30" s="27"/>
    </row>
    <row r="31" spans="1:35" x14ac:dyDescent="0.25">
      <c r="O31" s="86" t="s">
        <v>138</v>
      </c>
      <c r="S31" s="10"/>
    </row>
    <row r="32" spans="1:35" x14ac:dyDescent="0.25">
      <c r="A32" t="s">
        <v>89</v>
      </c>
      <c r="J32" s="72" t="str">
        <f>CONCATENATE("Lx = Lref * (Qref/Qx)^",TEXT(K29,"##.0##")," * (Vref/Vx)^7.5")</f>
        <v>Lx = Lref * (Qref/Qx)^1.6 * (Vref/Vx)^7.5</v>
      </c>
      <c r="O32" s="87">
        <f>K29</f>
        <v>1.6</v>
      </c>
      <c r="P32" s="11" t="s">
        <v>140</v>
      </c>
      <c r="S32" s="10"/>
      <c r="T32" s="73" t="str">
        <f>CONCATENATE("Lx = Lref * (Qref/Qx)^",TEXT(V29,"##.0##")," * (Vref/Vx)^7.5")</f>
        <v>Lx = Lref * (Qref/Qx)^2.0 * (Vref/Vx)^7.5</v>
      </c>
      <c r="X32" s="74" t="str">
        <f>CONCATENATE("Lx = Lref * (Qref/Qx)^",TEXT(Y29,"##.0##")," * (Vref/Vx)^7.5")</f>
        <v>Lx = Lref * (Qref/Qx)^2.6 * (Vref/Vx)^7.5</v>
      </c>
      <c r="AB32" s="75" t="str">
        <f>CONCATENATE("Lx = Lref * (Qref/Qx)^",TEXT(AB29,"##.0##")," * (Vref/Vx)^7.5")</f>
        <v>Lx = Lref * (Qref/Qx)^2.8 * (Vref/Vx)^7.5</v>
      </c>
    </row>
    <row r="33" spans="1:34" x14ac:dyDescent="0.25">
      <c r="J33" t="s">
        <v>21</v>
      </c>
      <c r="O33" s="87">
        <f>V29</f>
        <v>2</v>
      </c>
      <c r="P33" t="s">
        <v>139</v>
      </c>
      <c r="S33" s="10"/>
      <c r="T33" t="s">
        <v>21</v>
      </c>
      <c r="X33" t="s">
        <v>21</v>
      </c>
      <c r="AB33" t="s">
        <v>21</v>
      </c>
    </row>
    <row r="34" spans="1:34" x14ac:dyDescent="0.25">
      <c r="O34" s="87">
        <f>Y29</f>
        <v>2.6</v>
      </c>
    </row>
    <row r="35" spans="1:34" ht="15.75" thickBot="1" x14ac:dyDescent="0.3">
      <c r="O35" s="87">
        <f>AB29</f>
        <v>2.8</v>
      </c>
    </row>
    <row r="36" spans="1:34" x14ac:dyDescent="0.25">
      <c r="O36" s="84"/>
    </row>
    <row r="37" spans="1:34" x14ac:dyDescent="0.25">
      <c r="A37" s="5" t="s">
        <v>97</v>
      </c>
      <c r="D37" s="5" t="s">
        <v>98</v>
      </c>
      <c r="O37" s="85"/>
    </row>
    <row r="39" spans="1:34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5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46"/>
    </row>
    <row r="40" spans="1:34" ht="23.25" x14ac:dyDescent="0.35">
      <c r="N40" s="34"/>
      <c r="O40" s="32"/>
      <c r="P40" s="32"/>
      <c r="Q40" s="56" t="s">
        <v>106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42"/>
    </row>
    <row r="41" spans="1:34" x14ac:dyDescent="0.25">
      <c r="N41" s="34"/>
      <c r="O41" s="36" t="s">
        <v>107</v>
      </c>
      <c r="P41" s="32"/>
      <c r="Q41" s="57" t="s">
        <v>109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42"/>
    </row>
    <row r="42" spans="1:34" x14ac:dyDescent="0.25">
      <c r="N42" s="34"/>
      <c r="O42" s="58" t="s">
        <v>104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42"/>
    </row>
    <row r="43" spans="1:34" x14ac:dyDescent="0.25">
      <c r="N43" s="34"/>
      <c r="O43" s="58" t="s">
        <v>105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42"/>
    </row>
    <row r="44" spans="1:34" x14ac:dyDescent="0.25">
      <c r="N44" s="35" t="s">
        <v>80</v>
      </c>
      <c r="O44" s="36" t="s">
        <v>103</v>
      </c>
      <c r="P44" s="32"/>
      <c r="Q44" s="32"/>
      <c r="R44" s="32"/>
      <c r="S44" s="32"/>
      <c r="T44" s="32"/>
      <c r="U44" s="32"/>
      <c r="V44" s="32"/>
      <c r="W44" s="32"/>
      <c r="X44" s="36" t="s">
        <v>119</v>
      </c>
      <c r="Y44" s="36" t="s">
        <v>112</v>
      </c>
      <c r="Z44" s="32"/>
      <c r="AA44" s="32"/>
      <c r="AB44" s="32"/>
      <c r="AC44" s="32"/>
      <c r="AD44" s="32"/>
      <c r="AE44" s="32"/>
      <c r="AF44" s="32"/>
      <c r="AG44" s="32"/>
      <c r="AH44" s="42"/>
    </row>
    <row r="45" spans="1:34" x14ac:dyDescent="0.25">
      <c r="N45" s="35" t="s">
        <v>87</v>
      </c>
      <c r="O45" s="36" t="s">
        <v>83</v>
      </c>
      <c r="P45" s="32"/>
      <c r="Q45" s="32"/>
      <c r="R45" s="32"/>
      <c r="S45" s="32"/>
      <c r="T45" s="32"/>
      <c r="U45" s="32"/>
      <c r="V45" s="32"/>
      <c r="W45" s="32"/>
      <c r="X45" s="36" t="s">
        <v>83</v>
      </c>
      <c r="Y45" s="36" t="s">
        <v>83</v>
      </c>
      <c r="Z45" s="32"/>
      <c r="AA45" s="32"/>
      <c r="AB45" s="32"/>
      <c r="AC45" s="32"/>
      <c r="AD45" s="32"/>
      <c r="AE45" s="32"/>
      <c r="AF45" s="32"/>
      <c r="AG45" s="32"/>
      <c r="AH45" s="42"/>
    </row>
    <row r="46" spans="1:34" x14ac:dyDescent="0.25">
      <c r="N46" s="35" t="s">
        <v>88</v>
      </c>
      <c r="O46" s="36" t="s">
        <v>84</v>
      </c>
      <c r="P46" s="32"/>
      <c r="Q46" s="32"/>
      <c r="R46" s="32"/>
      <c r="S46" s="32"/>
      <c r="T46" s="32"/>
      <c r="U46" s="32"/>
      <c r="V46" s="32"/>
      <c r="W46" s="32"/>
      <c r="X46" s="36" t="s">
        <v>84</v>
      </c>
      <c r="Y46" s="36" t="s">
        <v>108</v>
      </c>
      <c r="Z46" s="32"/>
      <c r="AA46" s="32"/>
      <c r="AB46" s="32"/>
      <c r="AC46" s="32"/>
      <c r="AD46" s="32"/>
      <c r="AE46" s="32"/>
      <c r="AF46" s="32"/>
      <c r="AG46" s="32"/>
      <c r="AH46" s="42"/>
    </row>
    <row r="47" spans="1:34" x14ac:dyDescent="0.25">
      <c r="N47" s="40">
        <v>0.2</v>
      </c>
      <c r="O47" s="36">
        <v>1</v>
      </c>
      <c r="P47" s="32"/>
      <c r="Q47" s="32"/>
      <c r="R47" s="32"/>
      <c r="S47" s="32"/>
      <c r="T47" s="32"/>
      <c r="U47" s="32"/>
      <c r="V47" s="32"/>
      <c r="W47" s="32"/>
      <c r="X47" s="32">
        <f>LN(O47)</f>
        <v>0</v>
      </c>
      <c r="Y47" s="32">
        <f t="shared" ref="Y47:Y59" si="14">EXP(-6.9196*N47+1.5605)</f>
        <v>1.1931298733315503</v>
      </c>
      <c r="Z47" s="32"/>
      <c r="AA47" s="32"/>
      <c r="AB47" s="32"/>
      <c r="AC47" s="32"/>
      <c r="AD47" s="32"/>
      <c r="AE47" s="32"/>
      <c r="AF47" s="32"/>
      <c r="AG47" s="32"/>
      <c r="AH47" s="42"/>
    </row>
    <row r="48" spans="1:34" x14ac:dyDescent="0.25">
      <c r="N48" s="37">
        <v>0.25</v>
      </c>
      <c r="O48" s="36">
        <v>0.72</v>
      </c>
      <c r="P48" s="32"/>
      <c r="Q48" s="32"/>
      <c r="R48" s="32"/>
      <c r="S48" s="32"/>
      <c r="T48" s="32"/>
      <c r="U48" s="32"/>
      <c r="V48" s="32"/>
      <c r="W48" s="32"/>
      <c r="X48" s="32">
        <f t="shared" ref="X48:X59" si="15">LN(O48)</f>
        <v>-0.3285040669720361</v>
      </c>
      <c r="Y48" s="32">
        <f t="shared" si="14"/>
        <v>0.84417116737638498</v>
      </c>
      <c r="Z48" s="32"/>
      <c r="AA48" s="32"/>
      <c r="AB48" s="32"/>
      <c r="AC48" s="32"/>
      <c r="AD48" s="32"/>
      <c r="AE48" s="32"/>
      <c r="AF48" s="32"/>
      <c r="AG48" s="32"/>
      <c r="AH48" s="42"/>
    </row>
    <row r="49" spans="14:34" x14ac:dyDescent="0.25">
      <c r="N49" s="37">
        <v>0.3</v>
      </c>
      <c r="O49" s="36">
        <v>0.54500000000000004</v>
      </c>
      <c r="P49" s="32"/>
      <c r="Q49" s="32"/>
      <c r="R49" s="32"/>
      <c r="S49" s="32"/>
      <c r="T49" s="32"/>
      <c r="U49" s="32"/>
      <c r="V49" s="32"/>
      <c r="W49" s="32"/>
      <c r="X49" s="32">
        <f t="shared" si="15"/>
        <v>-0.60696948431889286</v>
      </c>
      <c r="Y49" s="32">
        <f t="shared" si="14"/>
        <v>0.59727358752636184</v>
      </c>
      <c r="Z49" s="32"/>
      <c r="AA49" s="32"/>
      <c r="AB49" s="32"/>
      <c r="AC49" s="32"/>
      <c r="AD49" s="32"/>
      <c r="AE49" s="32"/>
      <c r="AF49" s="32"/>
      <c r="AG49" s="32"/>
      <c r="AH49" s="42"/>
    </row>
    <row r="50" spans="14:34" x14ac:dyDescent="0.25">
      <c r="N50" s="37">
        <v>0.35</v>
      </c>
      <c r="O50" s="36">
        <v>0.4</v>
      </c>
      <c r="P50" s="32"/>
      <c r="Q50" s="32"/>
      <c r="R50" s="32"/>
      <c r="S50" s="32"/>
      <c r="T50" s="32"/>
      <c r="U50" s="32"/>
      <c r="V50" s="32"/>
      <c r="W50" s="32"/>
      <c r="X50" s="32">
        <f t="shared" si="15"/>
        <v>-0.916290731874155</v>
      </c>
      <c r="Y50" s="32">
        <f t="shared" si="14"/>
        <v>0.42258697304874326</v>
      </c>
      <c r="Z50" s="32"/>
      <c r="AA50" s="32"/>
      <c r="AB50" s="32"/>
      <c r="AC50" s="32"/>
      <c r="AD50" s="32"/>
      <c r="AE50" s="32"/>
      <c r="AF50" s="32"/>
      <c r="AG50" s="32"/>
      <c r="AH50" s="42"/>
    </row>
    <row r="51" spans="14:34" x14ac:dyDescent="0.25">
      <c r="N51" s="37">
        <v>0.4</v>
      </c>
      <c r="O51" s="36">
        <v>0.28999999999999998</v>
      </c>
      <c r="P51" s="32"/>
      <c r="Q51" s="32"/>
      <c r="R51" s="32"/>
      <c r="S51" s="32"/>
      <c r="T51" s="32"/>
      <c r="U51" s="32"/>
      <c r="V51" s="32"/>
      <c r="W51" s="32"/>
      <c r="X51" s="32">
        <f t="shared" si="15"/>
        <v>-1.2378743560016174</v>
      </c>
      <c r="Y51" s="32">
        <f t="shared" si="14"/>
        <v>0.29899154009152834</v>
      </c>
      <c r="Z51" s="32"/>
      <c r="AA51" s="32"/>
      <c r="AB51" s="32"/>
      <c r="AC51" s="32"/>
      <c r="AD51" s="32"/>
      <c r="AE51" s="32"/>
      <c r="AF51" s="32"/>
      <c r="AG51" s="32"/>
      <c r="AH51" s="42"/>
    </row>
    <row r="52" spans="14:34" x14ac:dyDescent="0.25">
      <c r="N52" s="37">
        <v>0.45</v>
      </c>
      <c r="O52" s="36">
        <v>0.22</v>
      </c>
      <c r="P52" s="32"/>
      <c r="Q52" s="32"/>
      <c r="R52" s="32"/>
      <c r="S52" s="32"/>
      <c r="T52" s="32"/>
      <c r="U52" s="32"/>
      <c r="V52" s="32"/>
      <c r="W52" s="32"/>
      <c r="X52" s="32">
        <f t="shared" si="15"/>
        <v>-1.5141277326297755</v>
      </c>
      <c r="Y52" s="32">
        <f t="shared" si="14"/>
        <v>0.21154447900123194</v>
      </c>
      <c r="Z52" s="32"/>
      <c r="AA52" s="32"/>
      <c r="AB52" s="32"/>
      <c r="AC52" s="32"/>
      <c r="AD52" s="32"/>
      <c r="AE52" s="32"/>
      <c r="AF52" s="32"/>
      <c r="AG52" s="32"/>
      <c r="AH52" s="42"/>
    </row>
    <row r="53" spans="14:34" x14ac:dyDescent="0.25">
      <c r="N53" s="37">
        <v>0.5</v>
      </c>
      <c r="O53" s="36">
        <v>0.16</v>
      </c>
      <c r="P53" s="32"/>
      <c r="Q53" s="32"/>
      <c r="R53" s="32"/>
      <c r="S53" s="32"/>
      <c r="T53" s="32"/>
      <c r="U53" s="32"/>
      <c r="V53" s="32"/>
      <c r="W53" s="32"/>
      <c r="X53" s="32">
        <f t="shared" si="15"/>
        <v>-1.8325814637483102</v>
      </c>
      <c r="Y53" s="32">
        <f t="shared" si="14"/>
        <v>0.14967335390895445</v>
      </c>
      <c r="Z53" s="32"/>
      <c r="AA53" s="32"/>
      <c r="AB53" s="32"/>
      <c r="AC53" s="32"/>
      <c r="AD53" s="32"/>
      <c r="AE53" s="32"/>
      <c r="AF53" s="32"/>
      <c r="AG53" s="32"/>
      <c r="AH53" s="42"/>
    </row>
    <row r="54" spans="14:34" x14ac:dyDescent="0.25">
      <c r="N54" s="37">
        <v>0.55000000000000004</v>
      </c>
      <c r="O54" s="36">
        <v>0.11</v>
      </c>
      <c r="P54" s="32"/>
      <c r="Q54" s="32"/>
      <c r="R54" s="32"/>
      <c r="S54" s="32"/>
      <c r="T54" s="32"/>
      <c r="U54" s="32"/>
      <c r="V54" s="32"/>
      <c r="W54" s="32"/>
      <c r="X54" s="32">
        <f t="shared" si="15"/>
        <v>-2.2072749131897207</v>
      </c>
      <c r="Y54" s="32">
        <f t="shared" si="14"/>
        <v>0.10589788481421282</v>
      </c>
      <c r="Z54" s="32"/>
      <c r="AA54" s="32"/>
      <c r="AB54" s="32"/>
      <c r="AC54" s="32"/>
      <c r="AD54" s="32"/>
      <c r="AE54" s="32"/>
      <c r="AF54" s="32"/>
      <c r="AG54" s="32"/>
      <c r="AH54" s="42"/>
    </row>
    <row r="55" spans="14:34" x14ac:dyDescent="0.25">
      <c r="N55" s="37">
        <v>0.6</v>
      </c>
      <c r="O55" s="36">
        <v>8.2000000000000003E-2</v>
      </c>
      <c r="P55" s="32"/>
      <c r="Q55" s="32"/>
      <c r="R55" s="32"/>
      <c r="S55" s="32"/>
      <c r="T55" s="32"/>
      <c r="U55" s="32"/>
      <c r="V55" s="32"/>
      <c r="W55" s="32"/>
      <c r="X55" s="32">
        <f t="shared" si="15"/>
        <v>-2.5010360317178839</v>
      </c>
      <c r="Y55" s="32">
        <f t="shared" si="14"/>
        <v>7.4925574360723821E-2</v>
      </c>
      <c r="Z55" s="32"/>
      <c r="AA55" s="32"/>
      <c r="AB55" s="32"/>
      <c r="AC55" s="32"/>
      <c r="AD55" s="32"/>
      <c r="AE55" s="32"/>
      <c r="AF55" s="32"/>
      <c r="AG55" s="32"/>
      <c r="AH55" s="42"/>
    </row>
    <row r="56" spans="14:34" x14ac:dyDescent="0.25">
      <c r="N56" s="37">
        <v>0.65</v>
      </c>
      <c r="O56" s="36">
        <v>5.7000000000000002E-2</v>
      </c>
      <c r="P56" s="32"/>
      <c r="Q56" s="32"/>
      <c r="R56" s="32"/>
      <c r="S56" s="32"/>
      <c r="T56" s="32"/>
      <c r="U56" s="32"/>
      <c r="V56" s="32"/>
      <c r="W56" s="32"/>
      <c r="X56" s="32">
        <f t="shared" si="15"/>
        <v>-2.864704011147587</v>
      </c>
      <c r="Y56" s="32">
        <f t="shared" si="14"/>
        <v>5.3011839690030302E-2</v>
      </c>
      <c r="Z56" s="32"/>
      <c r="AA56" s="32"/>
      <c r="AB56" s="32"/>
      <c r="AC56" s="32"/>
      <c r="AD56" s="32"/>
      <c r="AE56" s="32"/>
      <c r="AF56" s="32"/>
      <c r="AG56" s="32"/>
      <c r="AH56" s="42"/>
    </row>
    <row r="57" spans="14:34" x14ac:dyDescent="0.25">
      <c r="N57" s="37">
        <v>0.7</v>
      </c>
      <c r="O57" s="36">
        <v>3.7999999999999999E-2</v>
      </c>
      <c r="P57" s="32"/>
      <c r="Q57" s="32"/>
      <c r="R57" s="32"/>
      <c r="S57" s="32"/>
      <c r="T57" s="32"/>
      <c r="U57" s="32"/>
      <c r="V57" s="32"/>
      <c r="W57" s="32"/>
      <c r="X57" s="32">
        <f t="shared" si="15"/>
        <v>-3.2701691192557512</v>
      </c>
      <c r="Y57" s="32">
        <f t="shared" si="14"/>
        <v>3.7507288683456798E-2</v>
      </c>
      <c r="Z57" s="32"/>
      <c r="AA57" s="32"/>
      <c r="AB57" s="32"/>
      <c r="AC57" s="32"/>
      <c r="AD57" s="32"/>
      <c r="AE57" s="32"/>
      <c r="AF57" s="32"/>
      <c r="AG57" s="32"/>
      <c r="AH57" s="42"/>
    </row>
    <row r="58" spans="14:34" x14ac:dyDescent="0.25">
      <c r="N58" s="37">
        <v>0.75</v>
      </c>
      <c r="O58" s="36">
        <v>2.4E-2</v>
      </c>
      <c r="P58" s="32"/>
      <c r="Q58" s="32"/>
      <c r="R58" s="32"/>
      <c r="S58" s="32"/>
      <c r="T58" s="32"/>
      <c r="U58" s="32"/>
      <c r="V58" s="32"/>
      <c r="W58" s="32"/>
      <c r="X58" s="32">
        <f t="shared" si="15"/>
        <v>-3.7297014486341915</v>
      </c>
      <c r="Y58" s="32">
        <f t="shared" si="14"/>
        <v>2.6537405843863472E-2</v>
      </c>
      <c r="Z58" s="32"/>
      <c r="AA58" s="32"/>
      <c r="AB58" s="32"/>
      <c r="AC58" s="32"/>
      <c r="AD58" s="32"/>
      <c r="AE58" s="32"/>
      <c r="AF58" s="32"/>
      <c r="AG58" s="32"/>
      <c r="AH58" s="42"/>
    </row>
    <row r="59" spans="14:34" x14ac:dyDescent="0.25">
      <c r="N59" s="37">
        <v>0.8</v>
      </c>
      <c r="O59" s="36">
        <v>1.35E-2</v>
      </c>
      <c r="P59" s="32"/>
      <c r="Q59" s="32"/>
      <c r="R59" s="32"/>
      <c r="S59" s="32"/>
      <c r="T59" s="32"/>
      <c r="U59" s="32"/>
      <c r="V59" s="32"/>
      <c r="W59" s="32"/>
      <c r="X59" s="32">
        <f t="shared" si="15"/>
        <v>-4.3050655935377531</v>
      </c>
      <c r="Y59" s="32">
        <f t="shared" si="14"/>
        <v>1.8775921524621791E-2</v>
      </c>
      <c r="Z59" s="32"/>
      <c r="AA59" s="32"/>
      <c r="AB59" s="32"/>
      <c r="AC59" s="32"/>
      <c r="AD59" s="32"/>
      <c r="AE59" s="32"/>
      <c r="AF59" s="32"/>
      <c r="AG59" s="32"/>
      <c r="AH59" s="42"/>
    </row>
    <row r="60" spans="14:34" x14ac:dyDescent="0.25">
      <c r="N60" s="37"/>
      <c r="O60" s="36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/>
    </row>
    <row r="61" spans="14:34" x14ac:dyDescent="0.25">
      <c r="N61" s="34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42"/>
    </row>
    <row r="62" spans="14:34" x14ac:dyDescent="0.25">
      <c r="N62" s="37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42"/>
    </row>
    <row r="63" spans="14:34" x14ac:dyDescent="0.25">
      <c r="N63" s="37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42"/>
    </row>
    <row r="64" spans="14:34" x14ac:dyDescent="0.25">
      <c r="N64" s="37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42"/>
    </row>
    <row r="65" spans="14:34" x14ac:dyDescent="0.25">
      <c r="N65" s="37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42"/>
    </row>
    <row r="66" spans="14:34" x14ac:dyDescent="0.25">
      <c r="N66" s="34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42"/>
    </row>
    <row r="67" spans="14:34" x14ac:dyDescent="0.25">
      <c r="N67" s="34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42"/>
    </row>
    <row r="68" spans="14:34" x14ac:dyDescent="0.25">
      <c r="N68" s="34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42"/>
    </row>
    <row r="69" spans="14:34" x14ac:dyDescent="0.25">
      <c r="N69" s="34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42"/>
    </row>
    <row r="70" spans="14:34" x14ac:dyDescent="0.25">
      <c r="N70" s="34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42"/>
    </row>
    <row r="71" spans="14:34" x14ac:dyDescent="0.25">
      <c r="N71" s="34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42"/>
    </row>
    <row r="72" spans="14:34" x14ac:dyDescent="0.25">
      <c r="N72" s="59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45"/>
    </row>
    <row r="76" spans="14:34" x14ac:dyDescent="0.25">
      <c r="N76" s="81" t="s">
        <v>132</v>
      </c>
    </row>
    <row r="77" spans="14:34" x14ac:dyDescent="0.25">
      <c r="N77" s="80" t="s">
        <v>127</v>
      </c>
    </row>
    <row r="78" spans="14:34" x14ac:dyDescent="0.25">
      <c r="N78" s="80" t="s">
        <v>126</v>
      </c>
    </row>
    <row r="79" spans="14:34" x14ac:dyDescent="0.25">
      <c r="N79" s="80" t="s">
        <v>128</v>
      </c>
    </row>
    <row r="80" spans="14:34" x14ac:dyDescent="0.25">
      <c r="N80" s="80" t="s">
        <v>129</v>
      </c>
    </row>
    <row r="83" spans="14:15" x14ac:dyDescent="0.25">
      <c r="N83" t="s">
        <v>133</v>
      </c>
      <c r="O83" s="82" t="s">
        <v>134</v>
      </c>
    </row>
    <row r="84" spans="14:15" x14ac:dyDescent="0.25">
      <c r="N84" s="80" t="s">
        <v>130</v>
      </c>
    </row>
    <row r="86" spans="14:15" x14ac:dyDescent="0.25">
      <c r="N86" s="83" t="s">
        <v>135</v>
      </c>
    </row>
    <row r="103" spans="14:14" x14ac:dyDescent="0.25">
      <c r="N103" s="80" t="s">
        <v>137</v>
      </c>
    </row>
  </sheetData>
  <hyperlinks>
    <hyperlink ref="N78" r:id="rId1" xr:uid="{C67BB0E3-B5BD-4F0B-AF93-16B5FC0301DB}"/>
    <hyperlink ref="N77" r:id="rId2" xr:uid="{E06AEB8E-8603-46AF-87D8-7DF914CF1933}"/>
    <hyperlink ref="N79" r:id="rId3" xr:uid="{807B8414-6161-4766-9549-0750D788835F}"/>
    <hyperlink ref="N80" r:id="rId4" xr:uid="{C2E49B2E-4526-475E-8B1A-42A87FC333F9}"/>
    <hyperlink ref="N84" r:id="rId5" xr:uid="{3E628E23-CBC0-48CA-9462-ED0337F2ECF1}"/>
    <hyperlink ref="N103" r:id="rId6" display="GA/Maxwell: https://www.google.com/url....Fvoltage-reversal.pdf&amp;usg=AOvVaw0Tb4kngjpLkXGUoroep-It" xr:uid="{C70D9351-7F77-42E3-B36B-D75BF9B5B575}"/>
  </hyperlinks>
  <pageMargins left="0.23622047244094491" right="0.23622047244094491" top="0.74803149606299213" bottom="0.74803149606299213" header="0.31496062992125984" footer="0.31496062992125984"/>
  <pageSetup paperSize="9" scale="69" orientation="landscape" r:id="rId7"/>
  <headerFooter>
    <oddFooter>&amp;L&amp;F&amp;C&amp;A&amp;RSk &amp;D um &amp;T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31235 x 2</vt:lpstr>
      <vt:lpstr>37573T</vt:lpstr>
      <vt:lpstr>37336</vt:lpstr>
      <vt:lpstr>37667</vt:lpstr>
      <vt:lpstr>Jim Lux calc</vt:lpstr>
      <vt:lpstr>Jim Lux HV book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Kurt Schraner</cp:lastModifiedBy>
  <cp:lastPrinted>2012-04-18T13:18:35Z</cp:lastPrinted>
  <dcterms:created xsi:type="dcterms:W3CDTF">2012-04-17T08:39:23Z</dcterms:created>
  <dcterms:modified xsi:type="dcterms:W3CDTF">2019-01-06T16:46:30Z</dcterms:modified>
</cp:coreProperties>
</file>