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\Documents\Tesla\1-Sk\Induktor\"/>
    </mc:Choice>
  </mc:AlternateContent>
  <xr:revisionPtr revIDLastSave="0" documentId="12_ncr:500000_{8AA7DE99-8AAB-4A85-85B8-15D853CF7F9C}" xr6:coauthVersionLast="31" xr6:coauthVersionMax="31" xr10:uidLastSave="{00000000-0000-0000-0000-000000000000}"/>
  <bookViews>
    <workbookView xWindow="-15" yWindow="-15" windowWidth="14940" windowHeight="7425" tabRatio="932" xr2:uid="{00000000-000D-0000-FFFF-FFFF00000000}"/>
  </bookViews>
  <sheets>
    <sheet name="Intro" sheetId="58554" r:id="rId1"/>
    <sheet name="SketchSk" sheetId="58546" r:id="rId2"/>
    <sheet name="Codd Sk" sheetId="58544" r:id="rId3"/>
    <sheet name="Pie Sk" sheetId="58547" r:id="rId4"/>
    <sheet name="SimSk" sheetId="58541" r:id="rId5"/>
    <sheet name="T-Sk" sheetId="58543" r:id="rId6"/>
    <sheet name="Codd26k252" sheetId="58545" r:id="rId7"/>
    <sheet name="Pie26k" sheetId="58548" r:id="rId8"/>
    <sheet name="Sim26k" sheetId="58550" r:id="rId9"/>
    <sheet name="25kSec (layer)" sheetId="1" r:id="rId10"/>
    <sheet name="Codd48k492" sheetId="58537" r:id="rId11"/>
    <sheet name="Pie48k" sheetId="58552" r:id="rId12"/>
    <sheet name="Sim48k" sheetId="58553" r:id="rId13"/>
    <sheet name="Kosten" sheetId="58549" r:id="rId14"/>
    <sheet name="Core" sheetId="58538" r:id="rId15"/>
    <sheet name="Prim" sheetId="8" r:id="rId16"/>
    <sheet name="Codd Ex" sheetId="58536" r:id="rId17"/>
    <sheet name="Codd Phywe" sheetId="58540" r:id="rId18"/>
    <sheet name="DenseWdg" sheetId="58539" r:id="rId19"/>
    <sheet name="Fig.71" sheetId="4" r:id="rId20"/>
    <sheet name="Fig.165" sheetId="24608" r:id="rId21"/>
  </sheets>
  <definedNames>
    <definedName name="anscount" hidden="1">5</definedName>
    <definedName name="_xlnm.Print_Area" localSheetId="2">'Codd Sk'!$A$1:$I$84</definedName>
    <definedName name="_xlnm.Print_Area" localSheetId="6">Codd26k252!$A$1:$I$58</definedName>
    <definedName name="_xlnm.Print_Area" localSheetId="10">Codd48k492!$M$1:$S$58</definedName>
    <definedName name="_xlnm.Print_Area" localSheetId="14">Core!$E$5:$BG$62</definedName>
    <definedName name="_xlnm.Print_Area" localSheetId="18">DenseWdg!$B$1:$O$62</definedName>
    <definedName name="_xlnm.Print_Area" localSheetId="7">Pie26k!$A$1:$J$33</definedName>
    <definedName name="_xlnm.Print_Area" localSheetId="11">Pie48k!$A$1:$J$33</definedName>
    <definedName name="_xlnm.Print_Area" localSheetId="15">Prim!$B$42:$F$54</definedName>
    <definedName name="_xlnm.Print_Area" localSheetId="8">Sim26k!$A$1:$G$64</definedName>
    <definedName name="_xlnm.Print_Area" localSheetId="12">Sim48k!$A$1:$G$64</definedName>
    <definedName name="_xlnm.Print_Area" localSheetId="4">SimSk!$A$1:$G$64</definedName>
    <definedName name="limcount" hidden="1">1</definedName>
    <definedName name="sencount" hidden="1">3</definedName>
    <definedName name="solver_adj" localSheetId="14" hidden="1">Core!$AW$78</definedName>
    <definedName name="solver_cvg" localSheetId="14" hidden="1">0.001</definedName>
    <definedName name="solver_drv" localSheetId="14" hidden="1">1</definedName>
    <definedName name="solver_est" localSheetId="14" hidden="1">1</definedName>
    <definedName name="solver_itr" localSheetId="14" hidden="1">100</definedName>
    <definedName name="solver_lin" localSheetId="14" hidden="1">2</definedName>
    <definedName name="solver_neg" localSheetId="14" hidden="1">2</definedName>
    <definedName name="solver_num" localSheetId="14" hidden="1">0</definedName>
    <definedName name="solver_nwt" localSheetId="14" hidden="1">1</definedName>
    <definedName name="solver_opt" localSheetId="14" hidden="1">Core!$AY$82</definedName>
    <definedName name="solver_pre" localSheetId="14" hidden="1">0.000001</definedName>
    <definedName name="solver_scl" localSheetId="14" hidden="1">2</definedName>
    <definedName name="solver_sho" localSheetId="14" hidden="1">2</definedName>
    <definedName name="solver_tim" localSheetId="14" hidden="1">100</definedName>
    <definedName name="solver_tol" localSheetId="14" hidden="1">0.05</definedName>
    <definedName name="solver_typ" localSheetId="14" hidden="1">1</definedName>
    <definedName name="solver_val" localSheetId="14" hidden="1">0</definedName>
  </definedNames>
  <calcPr calcId="162913"/>
</workbook>
</file>

<file path=xl/calcChain.xml><?xml version="1.0" encoding="utf-8"?>
<calcChain xmlns="http://schemas.openxmlformats.org/spreadsheetml/2006/main">
  <c r="B80" i="58554" l="1"/>
  <c r="L19" i="1"/>
  <c r="E23" i="1"/>
  <c r="E30" i="1" s="1"/>
  <c r="E29" i="1"/>
  <c r="L29" i="1"/>
  <c r="E31" i="1"/>
  <c r="H13" i="58536"/>
  <c r="H14" i="58536"/>
  <c r="C93" i="58536" s="1"/>
  <c r="C94" i="58536" s="1"/>
  <c r="H15" i="58536"/>
  <c r="D22" i="58536"/>
  <c r="D24" i="58536" s="1"/>
  <c r="D23" i="58536"/>
  <c r="D25" i="58536"/>
  <c r="D26" i="58536"/>
  <c r="D93" i="58536" s="1"/>
  <c r="H27" i="58536"/>
  <c r="H28" i="58536"/>
  <c r="D29" i="58536"/>
  <c r="H29" i="58536"/>
  <c r="H30" i="58536"/>
  <c r="D42" i="58536"/>
  <c r="D44" i="58536" s="1"/>
  <c r="D43" i="58536"/>
  <c r="H49" i="58536"/>
  <c r="F97" i="58536" s="1"/>
  <c r="F98" i="58536" s="1"/>
  <c r="H52" i="58536"/>
  <c r="H53" i="58536"/>
  <c r="E62" i="58536"/>
  <c r="D66" i="58536"/>
  <c r="D68" i="58536"/>
  <c r="H68" i="58536"/>
  <c r="D71" i="58536"/>
  <c r="D76" i="58536"/>
  <c r="H76" i="58536"/>
  <c r="D77" i="58536"/>
  <c r="D78" i="58536"/>
  <c r="G105" i="58536" s="1"/>
  <c r="H78" i="58536"/>
  <c r="D79" i="58536"/>
  <c r="H81" i="58536"/>
  <c r="G104" i="58536"/>
  <c r="G106" i="58536"/>
  <c r="G130" i="58536"/>
  <c r="E131" i="58536"/>
  <c r="D67" i="58536" s="1"/>
  <c r="G132" i="58536"/>
  <c r="G136" i="58536"/>
  <c r="G140" i="58536"/>
  <c r="G144" i="58536"/>
  <c r="G145" i="58536"/>
  <c r="G152" i="58536"/>
  <c r="G153" i="58536"/>
  <c r="G154" i="58536"/>
  <c r="E155" i="58536"/>
  <c r="G155" i="58536" s="1"/>
  <c r="G161" i="58536"/>
  <c r="G164" i="58536" s="1"/>
  <c r="G162" i="58536"/>
  <c r="G163" i="58536"/>
  <c r="G170" i="58536" s="1"/>
  <c r="G171" i="58536" s="1"/>
  <c r="E164" i="58536"/>
  <c r="E167" i="58536"/>
  <c r="G167" i="58536"/>
  <c r="G169" i="58536"/>
  <c r="E170" i="58536"/>
  <c r="F24" i="58536" s="1"/>
  <c r="G172" i="58536"/>
  <c r="I172" i="58536"/>
  <c r="K172" i="58536"/>
  <c r="G173" i="58536"/>
  <c r="G174" i="58536" s="1"/>
  <c r="E174" i="58536"/>
  <c r="E175" i="58536"/>
  <c r="E181" i="58536" s="1"/>
  <c r="C193" i="58536" s="1"/>
  <c r="C81" i="58536" s="1"/>
  <c r="G179" i="58536"/>
  <c r="G185" i="58536" s="1"/>
  <c r="G180" i="58536"/>
  <c r="G183" i="58536"/>
  <c r="G184" i="58536"/>
  <c r="E185" i="58536"/>
  <c r="G197" i="58536"/>
  <c r="G198" i="58536"/>
  <c r="G199" i="58536"/>
  <c r="E200" i="58536"/>
  <c r="G200" i="58536" s="1"/>
  <c r="G218" i="58536"/>
  <c r="E219" i="58536"/>
  <c r="E224" i="58536" s="1"/>
  <c r="E220" i="58536"/>
  <c r="G224" i="58536"/>
  <c r="E226" i="58536"/>
  <c r="D83" i="58536" s="1"/>
  <c r="E232" i="58536"/>
  <c r="G232" i="58536" s="1"/>
  <c r="G234" i="58536"/>
  <c r="G236" i="58536"/>
  <c r="I236" i="58536"/>
  <c r="K236" i="58536"/>
  <c r="G237" i="58536"/>
  <c r="G238" i="58536"/>
  <c r="G239" i="58536"/>
  <c r="E243" i="58536"/>
  <c r="H44" i="58536" s="1"/>
  <c r="M250" i="58536"/>
  <c r="E273" i="58536"/>
  <c r="E279" i="58536"/>
  <c r="E286" i="58536"/>
  <c r="E302" i="58536"/>
  <c r="H13" i="58540"/>
  <c r="H14" i="58540"/>
  <c r="C93" i="58540" s="1"/>
  <c r="H15" i="58540"/>
  <c r="D22" i="58540"/>
  <c r="D24" i="58540" s="1"/>
  <c r="D23" i="58540"/>
  <c r="D25" i="58540"/>
  <c r="D26" i="58540"/>
  <c r="D93" i="58540" s="1"/>
  <c r="H27" i="58540"/>
  <c r="H28" i="58540"/>
  <c r="D29" i="58540"/>
  <c r="H29" i="58540"/>
  <c r="D30" i="58540"/>
  <c r="D42" i="58540"/>
  <c r="D44" i="58540" s="1"/>
  <c r="D43" i="58540"/>
  <c r="H49" i="58540"/>
  <c r="F97" i="58540" s="1"/>
  <c r="F98" i="58540" s="1"/>
  <c r="H52" i="58540"/>
  <c r="H53" i="58540"/>
  <c r="E62" i="58540"/>
  <c r="D66" i="58540"/>
  <c r="D68" i="58540"/>
  <c r="D71" i="58540"/>
  <c r="D76" i="58540"/>
  <c r="H76" i="58540"/>
  <c r="D77" i="58540"/>
  <c r="D78" i="58540"/>
  <c r="G105" i="58540" s="1"/>
  <c r="H78" i="58540"/>
  <c r="D79" i="58540"/>
  <c r="H81" i="58540"/>
  <c r="C94" i="58540"/>
  <c r="G104" i="58540"/>
  <c r="G106" i="58540"/>
  <c r="G130" i="58540"/>
  <c r="E302" i="58540" s="1"/>
  <c r="E131" i="58540"/>
  <c r="E226" i="58540" s="1"/>
  <c r="D83" i="58540" s="1"/>
  <c r="G132" i="58540"/>
  <c r="G136" i="58540"/>
  <c r="G140" i="58540"/>
  <c r="G144" i="58540"/>
  <c r="G167" i="58540" s="1"/>
  <c r="G145" i="58540"/>
  <c r="G152" i="58540"/>
  <c r="G153" i="58540"/>
  <c r="G154" i="58540"/>
  <c r="E155" i="58540"/>
  <c r="H16" i="58540" s="1"/>
  <c r="G161" i="58540"/>
  <c r="G162" i="58540"/>
  <c r="G163" i="58540"/>
  <c r="G170" i="58540" s="1"/>
  <c r="G171" i="58540" s="1"/>
  <c r="E164" i="58540"/>
  <c r="E167" i="58540"/>
  <c r="G169" i="58540"/>
  <c r="E170" i="58540"/>
  <c r="E171" i="58540" s="1"/>
  <c r="F22" i="58540" s="1"/>
  <c r="G172" i="58540"/>
  <c r="I172" i="58540"/>
  <c r="K172" i="58540"/>
  <c r="G173" i="58540"/>
  <c r="G174" i="58540" s="1"/>
  <c r="E174" i="58540"/>
  <c r="E175" i="58540"/>
  <c r="E181" i="58540" s="1"/>
  <c r="G179" i="58540"/>
  <c r="G180" i="58540"/>
  <c r="G183" i="58540"/>
  <c r="G184" i="58540"/>
  <c r="E185" i="58540"/>
  <c r="D28" i="58540" s="1"/>
  <c r="G197" i="58540"/>
  <c r="G198" i="58540"/>
  <c r="G199" i="58540"/>
  <c r="E200" i="58540"/>
  <c r="H30" i="58540" s="1"/>
  <c r="G200" i="58540"/>
  <c r="G218" i="58540"/>
  <c r="E219" i="58540"/>
  <c r="E224" i="58540" s="1"/>
  <c r="E220" i="58540"/>
  <c r="H68" i="58540" s="1"/>
  <c r="E232" i="58540"/>
  <c r="G232" i="58540" s="1"/>
  <c r="G234" i="58540"/>
  <c r="G236" i="58540"/>
  <c r="I236" i="58540"/>
  <c r="K236" i="58540"/>
  <c r="G237" i="58540"/>
  <c r="G238" i="58540"/>
  <c r="G239" i="58540"/>
  <c r="E243" i="58540"/>
  <c r="H44" i="58540" s="1"/>
  <c r="M250" i="58540"/>
  <c r="H82" i="58540" s="1"/>
  <c r="E273" i="58540"/>
  <c r="E279" i="58540"/>
  <c r="E286" i="58540"/>
  <c r="H13" i="58544"/>
  <c r="H14" i="58544"/>
  <c r="H15" i="58544"/>
  <c r="D22" i="58544"/>
  <c r="D24" i="58544" s="1"/>
  <c r="D23" i="58544"/>
  <c r="D25" i="58544"/>
  <c r="D26" i="58544"/>
  <c r="H27" i="58544"/>
  <c r="H28" i="58544"/>
  <c r="D29" i="58544"/>
  <c r="H29" i="58544"/>
  <c r="D42" i="58544"/>
  <c r="D44" i="58544" s="1"/>
  <c r="D43" i="58544"/>
  <c r="H49" i="58544"/>
  <c r="F97" i="58544" s="1"/>
  <c r="F98" i="58544" s="1"/>
  <c r="H52" i="58544"/>
  <c r="H53" i="58544"/>
  <c r="D62" i="58544"/>
  <c r="D66" i="58544"/>
  <c r="D68" i="58544"/>
  <c r="D71" i="58544"/>
  <c r="D76" i="58544"/>
  <c r="H76" i="58544"/>
  <c r="D77" i="58544"/>
  <c r="D78" i="58544"/>
  <c r="H78" i="58544"/>
  <c r="D79" i="58544"/>
  <c r="C81" i="58544"/>
  <c r="H81" i="58544"/>
  <c r="D93" i="58544"/>
  <c r="G104" i="58544"/>
  <c r="G105" i="58544"/>
  <c r="G106" i="58544"/>
  <c r="G130" i="58544"/>
  <c r="G224" i="58544" s="1"/>
  <c r="E131" i="58544"/>
  <c r="D67" i="58544" s="1"/>
  <c r="G131" i="58544"/>
  <c r="G226" i="58544" s="1"/>
  <c r="G132" i="58544"/>
  <c r="G136" i="58544"/>
  <c r="G140" i="58544"/>
  <c r="G144" i="58544"/>
  <c r="G167" i="58544" s="1"/>
  <c r="G145" i="58544"/>
  <c r="G152" i="58544"/>
  <c r="G153" i="58544"/>
  <c r="G154" i="58544"/>
  <c r="E155" i="58544"/>
  <c r="H16" i="58544" s="1"/>
  <c r="G155" i="58544"/>
  <c r="G161" i="58544"/>
  <c r="G162" i="58544"/>
  <c r="G163" i="58544"/>
  <c r="E164" i="58544"/>
  <c r="E167" i="58544"/>
  <c r="G169" i="58544"/>
  <c r="E170" i="58544"/>
  <c r="F24" i="58544" s="1"/>
  <c r="E171" i="58544"/>
  <c r="F22" i="58544" s="1"/>
  <c r="G172" i="58544"/>
  <c r="I172" i="58544"/>
  <c r="K172" i="58544"/>
  <c r="G173" i="58544"/>
  <c r="G174" i="58544" s="1"/>
  <c r="E174" i="58544"/>
  <c r="E175" i="58544"/>
  <c r="E181" i="58544" s="1"/>
  <c r="C193" i="58544" s="1"/>
  <c r="G179" i="58544"/>
  <c r="G180" i="58544"/>
  <c r="G181" i="58544"/>
  <c r="G183" i="58544"/>
  <c r="G184" i="58544"/>
  <c r="E185" i="58544"/>
  <c r="D28" i="58544" s="1"/>
  <c r="G185" i="58544"/>
  <c r="E186" i="58544"/>
  <c r="G197" i="58544"/>
  <c r="G198" i="58544"/>
  <c r="G199" i="58544"/>
  <c r="E200" i="58544"/>
  <c r="H30" i="58544" s="1"/>
  <c r="G218" i="58544"/>
  <c r="E219" i="58544"/>
  <c r="E224" i="58544" s="1"/>
  <c r="E220" i="58544"/>
  <c r="E226" i="58544"/>
  <c r="D83" i="58544" s="1"/>
  <c r="E232" i="58544"/>
  <c r="D49" i="58544" s="1"/>
  <c r="C97" i="58544" s="1"/>
  <c r="C98" i="58544" s="1"/>
  <c r="G232" i="58544"/>
  <c r="G234" i="58544"/>
  <c r="G236" i="58544"/>
  <c r="I236" i="58544"/>
  <c r="K236" i="58544"/>
  <c r="G237" i="58544"/>
  <c r="G238" i="58544"/>
  <c r="G239" i="58544"/>
  <c r="E243" i="58544"/>
  <c r="H44" i="58544" s="1"/>
  <c r="M250" i="58544"/>
  <c r="H82" i="58544" s="1"/>
  <c r="E273" i="58544"/>
  <c r="E279" i="58544"/>
  <c r="E286" i="58544"/>
  <c r="H13" i="58545"/>
  <c r="H14" i="58545"/>
  <c r="D30" i="58545" s="1"/>
  <c r="H15" i="58545"/>
  <c r="D22" i="58545"/>
  <c r="D24" i="58545" s="1"/>
  <c r="D23" i="58545"/>
  <c r="D25" i="58545"/>
  <c r="D26" i="58545"/>
  <c r="D93" i="58545" s="1"/>
  <c r="D94" i="58545" s="1"/>
  <c r="H27" i="58545"/>
  <c r="M27" i="58545"/>
  <c r="D28" i="58545"/>
  <c r="H28" i="58545"/>
  <c r="M28" i="58545"/>
  <c r="D29" i="58545"/>
  <c r="H29" i="58545"/>
  <c r="M34" i="58545"/>
  <c r="M35" i="58545"/>
  <c r="D42" i="58545"/>
  <c r="D44" i="58545" s="1"/>
  <c r="D43" i="58545"/>
  <c r="H47" i="58545"/>
  <c r="D97" i="58545" s="1"/>
  <c r="D98" i="58545" s="1"/>
  <c r="H49" i="58545"/>
  <c r="M49" i="58545"/>
  <c r="M50" i="58545"/>
  <c r="H52" i="58545"/>
  <c r="H53" i="58545"/>
  <c r="E62" i="58545"/>
  <c r="D66" i="58545"/>
  <c r="D68" i="58545"/>
  <c r="D71" i="58545"/>
  <c r="D76" i="58545"/>
  <c r="H76" i="58545"/>
  <c r="D77" i="58545"/>
  <c r="H78" i="58545"/>
  <c r="D79" i="58545"/>
  <c r="H81" i="58545"/>
  <c r="F93" i="58545"/>
  <c r="F94" i="58545" s="1"/>
  <c r="F97" i="58545"/>
  <c r="F98" i="58545" s="1"/>
  <c r="G129" i="58545"/>
  <c r="E130" i="58545"/>
  <c r="D67" i="58545" s="1"/>
  <c r="G131" i="58545"/>
  <c r="G135" i="58545"/>
  <c r="G139" i="58545"/>
  <c r="G143" i="58545"/>
  <c r="G166" i="58545" s="1"/>
  <c r="G144" i="58545"/>
  <c r="G151" i="58545"/>
  <c r="G152" i="58545"/>
  <c r="G153" i="58545"/>
  <c r="E154" i="58545"/>
  <c r="G160" i="58545"/>
  <c r="G161" i="58545"/>
  <c r="E166" i="58545"/>
  <c r="G168" i="58545"/>
  <c r="G171" i="58545"/>
  <c r="I171" i="58545"/>
  <c r="K171" i="58545"/>
  <c r="G172" i="58545"/>
  <c r="E173" i="58545"/>
  <c r="G173" i="58545"/>
  <c r="E174" i="58545"/>
  <c r="G178" i="58545"/>
  <c r="G179" i="58545"/>
  <c r="G182" i="58545"/>
  <c r="G183" i="58545"/>
  <c r="E184" i="58545"/>
  <c r="E185" i="58545"/>
  <c r="E186" i="58545"/>
  <c r="G186" i="58545" s="1"/>
  <c r="G196" i="58545"/>
  <c r="G197" i="58545"/>
  <c r="G198" i="58545"/>
  <c r="E199" i="58545"/>
  <c r="H30" i="58545" s="1"/>
  <c r="W209" i="58545"/>
  <c r="Z209" i="58545" s="1"/>
  <c r="Z210" i="58545" s="1"/>
  <c r="U214" i="58545"/>
  <c r="G217" i="58545"/>
  <c r="E218" i="58545"/>
  <c r="E223" i="58545" s="1"/>
  <c r="E219" i="58545"/>
  <c r="H68" i="58545" s="1"/>
  <c r="E231" i="58545"/>
  <c r="D49" i="58545" s="1"/>
  <c r="C97" i="58545" s="1"/>
  <c r="C98" i="58545" s="1"/>
  <c r="G232" i="58545"/>
  <c r="M232" i="58545"/>
  <c r="G233" i="58545"/>
  <c r="E234" i="58545"/>
  <c r="G234" i="58545" s="1"/>
  <c r="G235" i="58545"/>
  <c r="I235" i="58545"/>
  <c r="K235" i="58545"/>
  <c r="G236" i="58545"/>
  <c r="G237" i="58545"/>
  <c r="G238" i="58545"/>
  <c r="E240" i="58545"/>
  <c r="H42" i="58545" s="1"/>
  <c r="E241" i="58545"/>
  <c r="M242" i="58545" s="1"/>
  <c r="E242" i="58545"/>
  <c r="H44" i="58545" s="1"/>
  <c r="M249" i="58545"/>
  <c r="H82" i="58545" s="1"/>
  <c r="E261" i="58545"/>
  <c r="G261" i="58545" s="1"/>
  <c r="E272" i="58545"/>
  <c r="E278" i="58545"/>
  <c r="E285" i="58545"/>
  <c r="H13" i="58537"/>
  <c r="H14" i="58537"/>
  <c r="D30" i="58537" s="1"/>
  <c r="H15" i="58537"/>
  <c r="D22" i="58537"/>
  <c r="D23" i="58537"/>
  <c r="D24" i="58537"/>
  <c r="D25" i="58537"/>
  <c r="D26" i="58537"/>
  <c r="D93" i="58537" s="1"/>
  <c r="H27" i="58537"/>
  <c r="O27" i="58537"/>
  <c r="H28" i="58537"/>
  <c r="O28" i="58537"/>
  <c r="D29" i="58537"/>
  <c r="H29" i="58537"/>
  <c r="H30" i="58537"/>
  <c r="O34" i="58537"/>
  <c r="O35" i="58537"/>
  <c r="D42" i="58537"/>
  <c r="D44" i="58537" s="1"/>
  <c r="D43" i="58537"/>
  <c r="H47" i="58537"/>
  <c r="D97" i="58537" s="1"/>
  <c r="D98" i="58537" s="1"/>
  <c r="H48" i="58537"/>
  <c r="H49" i="58537"/>
  <c r="O49" i="58537"/>
  <c r="O50" i="58537"/>
  <c r="H52" i="58537"/>
  <c r="H53" i="58537"/>
  <c r="E62" i="58537"/>
  <c r="D66" i="58537"/>
  <c r="D68" i="58537"/>
  <c r="H68" i="58537"/>
  <c r="D71" i="58537"/>
  <c r="D76" i="58537"/>
  <c r="H76" i="58537"/>
  <c r="D77" i="58537"/>
  <c r="H78" i="58537"/>
  <c r="D79" i="58537"/>
  <c r="H81" i="58537"/>
  <c r="H82" i="58537"/>
  <c r="C93" i="58537"/>
  <c r="C94" i="58537" s="1"/>
  <c r="F97" i="58537"/>
  <c r="F98" i="58537" s="1"/>
  <c r="G129" i="58537"/>
  <c r="E301" i="58537" s="1"/>
  <c r="E130" i="58537"/>
  <c r="G131" i="58537"/>
  <c r="G135" i="58537"/>
  <c r="G139" i="58537"/>
  <c r="G143" i="58537"/>
  <c r="G166" i="58537" s="1"/>
  <c r="G144" i="58537"/>
  <c r="G151" i="58537"/>
  <c r="G152" i="58537"/>
  <c r="G153" i="58537"/>
  <c r="E154" i="58537"/>
  <c r="H16" i="58537" s="1"/>
  <c r="G154" i="58537"/>
  <c r="G160" i="58537"/>
  <c r="G161" i="58537"/>
  <c r="E166" i="58537"/>
  <c r="G168" i="58537"/>
  <c r="G171" i="58537"/>
  <c r="I171" i="58537"/>
  <c r="K171" i="58537"/>
  <c r="G172" i="58537"/>
  <c r="G173" i="58537" s="1"/>
  <c r="E173" i="58537"/>
  <c r="E174" i="58537"/>
  <c r="E180" i="58537" s="1"/>
  <c r="G178" i="58537"/>
  <c r="G180" i="58537" s="1"/>
  <c r="G179" i="58537"/>
  <c r="G182" i="58537"/>
  <c r="G183" i="58537"/>
  <c r="E184" i="58537"/>
  <c r="D28" i="58537" s="1"/>
  <c r="E185" i="58537"/>
  <c r="G196" i="58537"/>
  <c r="G197" i="58537"/>
  <c r="G198" i="58537"/>
  <c r="E199" i="58537"/>
  <c r="G199" i="58537"/>
  <c r="W209" i="58537"/>
  <c r="X214" i="58537" s="1"/>
  <c r="W210" i="58537"/>
  <c r="U214" i="58537"/>
  <c r="G217" i="58537"/>
  <c r="E218" i="58537"/>
  <c r="E219" i="58537"/>
  <c r="E223" i="58537"/>
  <c r="G223" i="58537"/>
  <c r="E231" i="58537"/>
  <c r="D49" i="58537" s="1"/>
  <c r="C97" i="58537" s="1"/>
  <c r="C98" i="58537" s="1"/>
  <c r="G232" i="58537"/>
  <c r="M232" i="58537"/>
  <c r="G233" i="58537"/>
  <c r="E234" i="58537"/>
  <c r="E241" i="58537" s="1"/>
  <c r="G234" i="58537"/>
  <c r="G235" i="58537"/>
  <c r="I235" i="58537"/>
  <c r="K235" i="58537"/>
  <c r="G236" i="58537"/>
  <c r="G237" i="58537"/>
  <c r="G238" i="58537"/>
  <c r="E240" i="58537"/>
  <c r="E242" i="58537"/>
  <c r="H44" i="58537" s="1"/>
  <c r="M249" i="58537"/>
  <c r="E261" i="58537"/>
  <c r="G261" i="58537" s="1"/>
  <c r="E272" i="58537"/>
  <c r="E278" i="58537"/>
  <c r="E285" i="58537"/>
  <c r="AX17" i="58538"/>
  <c r="BA17" i="58538"/>
  <c r="BB17" i="58538"/>
  <c r="BA18" i="58538"/>
  <c r="BB18" i="58538"/>
  <c r="BA19" i="58538"/>
  <c r="BB19" i="58538"/>
  <c r="AY23" i="58538"/>
  <c r="BG23" i="58538" s="1"/>
  <c r="AX34" i="58538"/>
  <c r="BA34" i="58538"/>
  <c r="BB34" i="58538"/>
  <c r="BC34" i="58538"/>
  <c r="AX35" i="58538"/>
  <c r="AY35" i="58538" s="1"/>
  <c r="BA35" i="58538"/>
  <c r="BB35" i="58538"/>
  <c r="BA36" i="58538"/>
  <c r="BB36" i="58538"/>
  <c r="BA37" i="58538"/>
  <c r="BB37" i="58538"/>
  <c r="AY40" i="58538"/>
  <c r="BG40" i="58538" s="1"/>
  <c r="AX53" i="58538"/>
  <c r="BA53" i="58538"/>
  <c r="BB53" i="58538"/>
  <c r="BC53" i="58538"/>
  <c r="AX54" i="58538"/>
  <c r="AY54" i="58538"/>
  <c r="BA54" i="58538"/>
  <c r="BB54" i="58538"/>
  <c r="BA55" i="58538"/>
  <c r="BB55" i="58538"/>
  <c r="BA56" i="58538"/>
  <c r="BB56" i="58538"/>
  <c r="BA57" i="58538"/>
  <c r="BB57" i="58538"/>
  <c r="AY60" i="58538"/>
  <c r="BG60" i="58538" s="1"/>
  <c r="AX73" i="58538"/>
  <c r="BA73" i="58538"/>
  <c r="BB73" i="58538"/>
  <c r="BC73" i="58538"/>
  <c r="BF73" i="58538"/>
  <c r="AX74" i="58538"/>
  <c r="BA74" i="58538"/>
  <c r="BB74" i="58538"/>
  <c r="BA75" i="58538"/>
  <c r="BB75" i="58538"/>
  <c r="BA76" i="58538"/>
  <c r="BB76" i="58538"/>
  <c r="BA77" i="58538"/>
  <c r="BB77" i="58538"/>
  <c r="BA78" i="58538"/>
  <c r="BB78" i="58538"/>
  <c r="AY81" i="58538"/>
  <c r="BG81" i="58538" s="1"/>
  <c r="G53" i="58539"/>
  <c r="N61" i="58539"/>
  <c r="C7" i="24608"/>
  <c r="C8" i="24608"/>
  <c r="C9" i="24608"/>
  <c r="C10" i="24608"/>
  <c r="C11" i="24608"/>
  <c r="C12" i="24608"/>
  <c r="C13" i="24608"/>
  <c r="C14" i="24608"/>
  <c r="C15" i="24608"/>
  <c r="B7" i="4"/>
  <c r="D7" i="4" s="1"/>
  <c r="B8" i="4"/>
  <c r="D8" i="4" s="1"/>
  <c r="E8" i="4" s="1"/>
  <c r="B9" i="4"/>
  <c r="D9" i="4" s="1"/>
  <c r="E9" i="4" s="1"/>
  <c r="B10" i="4"/>
  <c r="D10" i="4" s="1"/>
  <c r="E10" i="4" s="1"/>
  <c r="B11" i="4"/>
  <c r="D11" i="4" s="1"/>
  <c r="E11" i="4" s="1"/>
  <c r="B12" i="4"/>
  <c r="D12" i="4"/>
  <c r="E12" i="4" s="1"/>
  <c r="B13" i="4"/>
  <c r="D13" i="4" s="1"/>
  <c r="E13" i="4"/>
  <c r="B14" i="4"/>
  <c r="D14" i="4" s="1"/>
  <c r="E14" i="4" s="1"/>
  <c r="B15" i="4"/>
  <c r="D15" i="4" s="1"/>
  <c r="E15" i="4" s="1"/>
  <c r="B16" i="4"/>
  <c r="D16" i="4"/>
  <c r="E16" i="4" s="1"/>
  <c r="B17" i="4"/>
  <c r="D17" i="4" s="1"/>
  <c r="E17" i="4"/>
  <c r="B18" i="4"/>
  <c r="D18" i="4"/>
  <c r="E18" i="4" s="1"/>
  <c r="B19" i="4"/>
  <c r="D19" i="4" s="1"/>
  <c r="E19" i="4" s="1"/>
  <c r="B20" i="4"/>
  <c r="D20" i="4"/>
  <c r="E20" i="4" s="1"/>
  <c r="B21" i="4"/>
  <c r="D21" i="4" s="1"/>
  <c r="E21" i="4" s="1"/>
  <c r="B22" i="4"/>
  <c r="D22" i="4" s="1"/>
  <c r="E22" i="4" s="1"/>
  <c r="B23" i="4"/>
  <c r="D23" i="4"/>
  <c r="E23" i="4" s="1"/>
  <c r="B24" i="4"/>
  <c r="B25" i="4"/>
  <c r="B26" i="4"/>
  <c r="B27" i="4"/>
  <c r="G47" i="4"/>
  <c r="G48" i="4"/>
  <c r="G49" i="4"/>
  <c r="G50" i="4"/>
  <c r="E51" i="4"/>
  <c r="G51" i="4"/>
  <c r="G52" i="4"/>
  <c r="G53" i="4" s="1"/>
  <c r="G59" i="4"/>
  <c r="G8" i="58549"/>
  <c r="G9" i="58549"/>
  <c r="G10" i="58549"/>
  <c r="G11" i="58549"/>
  <c r="G16" i="58549"/>
  <c r="G18" i="58549" s="1"/>
  <c r="B34" i="58549"/>
  <c r="B35" i="58549" s="1"/>
  <c r="B44" i="58549"/>
  <c r="F3" i="58547"/>
  <c r="G3" i="58547"/>
  <c r="K3" i="58547"/>
  <c r="L3" i="58547"/>
  <c r="B6" i="58547"/>
  <c r="H7" i="58547"/>
  <c r="H10" i="58547" s="1"/>
  <c r="I7" i="58547"/>
  <c r="I10" i="58547" s="1"/>
  <c r="H8" i="58547"/>
  <c r="I8" i="58547"/>
  <c r="B11" i="58547"/>
  <c r="L14" i="58547"/>
  <c r="L15" i="58547"/>
  <c r="L16" i="58547"/>
  <c r="H7" i="58548"/>
  <c r="H10" i="58548" s="1"/>
  <c r="I7" i="58548"/>
  <c r="I10" i="58548" s="1"/>
  <c r="H8" i="58548"/>
  <c r="I8" i="58548"/>
  <c r="L14" i="58548"/>
  <c r="L15" i="58548"/>
  <c r="L16" i="58548"/>
  <c r="H23" i="58548"/>
  <c r="B25" i="58548"/>
  <c r="F26" i="58548"/>
  <c r="H26" i="58548"/>
  <c r="B6" i="58548" s="1"/>
  <c r="L26" i="58548"/>
  <c r="L27" i="58548"/>
  <c r="L28" i="58548"/>
  <c r="B43" i="58548"/>
  <c r="B44" i="58548"/>
  <c r="B45" i="58548"/>
  <c r="B6" i="58552"/>
  <c r="H7" i="58552"/>
  <c r="H10" i="58552" s="1"/>
  <c r="I7" i="58552"/>
  <c r="I10" i="58552" s="1"/>
  <c r="I11" i="58552" s="1"/>
  <c r="C16" i="58552" s="1"/>
  <c r="H8" i="58552"/>
  <c r="I8" i="58552"/>
  <c r="L14" i="58552"/>
  <c r="L15" i="58552"/>
  <c r="L16" i="58552"/>
  <c r="H23" i="58552"/>
  <c r="B25" i="58552"/>
  <c r="L27" i="58552" s="1"/>
  <c r="F26" i="58552"/>
  <c r="L26" i="58552"/>
  <c r="L28" i="58552"/>
  <c r="B43" i="58552"/>
  <c r="B44" i="58552"/>
  <c r="B45" i="58552"/>
  <c r="B46" i="58552"/>
  <c r="B48" i="58552" s="1"/>
  <c r="E20" i="8"/>
  <c r="E21" i="8"/>
  <c r="E22" i="8"/>
  <c r="K22" i="8"/>
  <c r="M22" i="8"/>
  <c r="E23" i="8"/>
  <c r="M38" i="8" s="1"/>
  <c r="E24" i="8"/>
  <c r="C25" i="8"/>
  <c r="E25" i="8" s="1"/>
  <c r="C26" i="8"/>
  <c r="E26" i="8"/>
  <c r="C27" i="8"/>
  <c r="E27" i="8" s="1"/>
  <c r="M37" i="8" s="1"/>
  <c r="C32" i="8"/>
  <c r="K27" i="8" s="1"/>
  <c r="E32" i="8"/>
  <c r="M35" i="8"/>
  <c r="M45" i="8"/>
  <c r="M46" i="8" s="1"/>
  <c r="C48" i="8"/>
  <c r="F48" i="8"/>
  <c r="C49" i="8"/>
  <c r="F49" i="8" s="1"/>
  <c r="C50" i="8"/>
  <c r="F50" i="8" s="1"/>
  <c r="C51" i="8"/>
  <c r="F51" i="8"/>
  <c r="C52" i="8"/>
  <c r="F52" i="8"/>
  <c r="E4" i="58550"/>
  <c r="E5" i="58550"/>
  <c r="E8" i="58550"/>
  <c r="E9" i="58550"/>
  <c r="I24" i="58550" s="1"/>
  <c r="E10" i="58550"/>
  <c r="I25" i="58550" s="1"/>
  <c r="E12" i="58550"/>
  <c r="E13" i="58550"/>
  <c r="E14" i="58550"/>
  <c r="I15" i="58550"/>
  <c r="F24" i="58550" s="1"/>
  <c r="E16" i="58550"/>
  <c r="B17" i="58550"/>
  <c r="E17" i="58550" s="1"/>
  <c r="I17" i="58550"/>
  <c r="E18" i="58550"/>
  <c r="I18" i="58550" s="1"/>
  <c r="B23" i="58550"/>
  <c r="E23" i="58550" s="1"/>
  <c r="E24" i="58550"/>
  <c r="B24" i="58550" s="1"/>
  <c r="E25" i="58550"/>
  <c r="F25" i="58550"/>
  <c r="I35" i="58550"/>
  <c r="P35" i="58550"/>
  <c r="Q35" i="58550"/>
  <c r="S36" i="58550"/>
  <c r="S37" i="58550"/>
  <c r="S38" i="58550"/>
  <c r="S39" i="58550"/>
  <c r="S40" i="58550"/>
  <c r="S41" i="58550"/>
  <c r="S42" i="58550"/>
  <c r="S43" i="58550"/>
  <c r="S44" i="58550"/>
  <c r="S45" i="58550"/>
  <c r="S46" i="58550"/>
  <c r="S47" i="58550"/>
  <c r="S48" i="58550"/>
  <c r="S49" i="58550"/>
  <c r="S50" i="58550"/>
  <c r="S51" i="58550"/>
  <c r="S52" i="58550"/>
  <c r="S53" i="58550"/>
  <c r="S54" i="58550"/>
  <c r="S55" i="58550"/>
  <c r="S56" i="58550"/>
  <c r="S57" i="58550"/>
  <c r="S58" i="58550"/>
  <c r="S59" i="58550"/>
  <c r="S60" i="58550"/>
  <c r="S61" i="58550"/>
  <c r="E68" i="58550"/>
  <c r="H70" i="58550" s="1"/>
  <c r="E69" i="58550"/>
  <c r="E70" i="58550"/>
  <c r="B70" i="58550" s="1"/>
  <c r="B192" i="58550"/>
  <c r="E192" i="58550"/>
  <c r="B195" i="58550"/>
  <c r="E195" i="58550"/>
  <c r="E4" i="58553"/>
  <c r="E68" i="58553" s="1"/>
  <c r="B68" i="58553" s="1"/>
  <c r="E5" i="58553"/>
  <c r="E8" i="58553"/>
  <c r="E9" i="58553"/>
  <c r="E10" i="58553"/>
  <c r="I25" i="58553" s="1"/>
  <c r="E25" i="58553" s="1"/>
  <c r="B25" i="58553" s="1"/>
  <c r="E12" i="58553"/>
  <c r="E13" i="58553"/>
  <c r="E14" i="58553"/>
  <c r="E16" i="58553"/>
  <c r="B17" i="58553"/>
  <c r="E17" i="58553" s="1"/>
  <c r="I17" i="58553"/>
  <c r="E18" i="58553"/>
  <c r="I18" i="58553" s="1"/>
  <c r="B23" i="58553"/>
  <c r="E23" i="58553" s="1"/>
  <c r="I24" i="58553"/>
  <c r="E24" i="58553" s="1"/>
  <c r="E70" i="58553" s="1"/>
  <c r="F25" i="58553"/>
  <c r="I35" i="58553"/>
  <c r="Q35" i="58553" s="1"/>
  <c r="P35" i="58553"/>
  <c r="S36" i="58553"/>
  <c r="S37" i="58553"/>
  <c r="S38" i="58553"/>
  <c r="S39" i="58553"/>
  <c r="S40" i="58553"/>
  <c r="S41" i="58553"/>
  <c r="S42" i="58553"/>
  <c r="S43" i="58553"/>
  <c r="S44" i="58553"/>
  <c r="S45" i="58553"/>
  <c r="S46" i="58553"/>
  <c r="S47" i="58553"/>
  <c r="S48" i="58553"/>
  <c r="S49" i="58553"/>
  <c r="S50" i="58553"/>
  <c r="S51" i="58553"/>
  <c r="S52" i="58553"/>
  <c r="S53" i="58553"/>
  <c r="S54" i="58553"/>
  <c r="S55" i="58553"/>
  <c r="S56" i="58553"/>
  <c r="S57" i="58553"/>
  <c r="S58" i="58553"/>
  <c r="S59" i="58553"/>
  <c r="S60" i="58553"/>
  <c r="S61" i="58553"/>
  <c r="E71" i="58553"/>
  <c r="B71" i="58553" s="1"/>
  <c r="B192" i="58553"/>
  <c r="E192" i="58553"/>
  <c r="E4" i="58541"/>
  <c r="E68" i="58541" s="1"/>
  <c r="E5" i="58541"/>
  <c r="E8" i="58541"/>
  <c r="E9" i="58541"/>
  <c r="E10" i="58541"/>
  <c r="I25" i="58541" s="1"/>
  <c r="E25" i="58541" s="1"/>
  <c r="E71" i="58541" s="1"/>
  <c r="B71" i="58541" s="1"/>
  <c r="E12" i="58541"/>
  <c r="E13" i="58541"/>
  <c r="E14" i="58541"/>
  <c r="E16" i="58541"/>
  <c r="B17" i="58541"/>
  <c r="E17" i="58541" s="1"/>
  <c r="I17" i="58541"/>
  <c r="E18" i="58541"/>
  <c r="I18" i="58541"/>
  <c r="F23" i="58541" s="1"/>
  <c r="B23" i="58541"/>
  <c r="E23" i="58541" s="1"/>
  <c r="B6" i="58541" s="1"/>
  <c r="E6" i="58541" s="1"/>
  <c r="F25" i="58541"/>
  <c r="B195" i="58541" s="1"/>
  <c r="I35" i="58541"/>
  <c r="P35" i="58541"/>
  <c r="Q35" i="58541"/>
  <c r="S36" i="58541"/>
  <c r="S37" i="58541"/>
  <c r="S38" i="58541"/>
  <c r="S39" i="58541"/>
  <c r="S40" i="58541"/>
  <c r="S41" i="58541"/>
  <c r="S42" i="58541"/>
  <c r="S43" i="58541"/>
  <c r="S44" i="58541"/>
  <c r="S45" i="58541"/>
  <c r="S46" i="58541"/>
  <c r="S47" i="58541"/>
  <c r="S48" i="58541"/>
  <c r="S49" i="58541"/>
  <c r="S50" i="58541"/>
  <c r="S51" i="58541"/>
  <c r="S52" i="58541"/>
  <c r="S53" i="58541"/>
  <c r="S54" i="58541"/>
  <c r="S55" i="58541"/>
  <c r="S56" i="58541"/>
  <c r="S57" i="58541"/>
  <c r="S58" i="58541"/>
  <c r="S59" i="58541"/>
  <c r="S60" i="58541"/>
  <c r="S61" i="58541"/>
  <c r="B192" i="58541"/>
  <c r="E192" i="58541"/>
  <c r="E195" i="58541"/>
  <c r="D9" i="58546"/>
  <c r="I9" i="58546"/>
  <c r="K9" i="58546" s="1"/>
  <c r="H90" i="58546"/>
  <c r="H91" i="58546"/>
  <c r="E97" i="58546"/>
  <c r="D104" i="58546" s="1"/>
  <c r="H97" i="58546"/>
  <c r="J114" i="58546"/>
  <c r="J115" i="58546"/>
  <c r="G6" i="58543"/>
  <c r="G7" i="58543"/>
  <c r="L51" i="58543" s="1"/>
  <c r="L46" i="58543" s="1"/>
  <c r="E11" i="58543"/>
  <c r="J16" i="58543"/>
  <c r="E25" i="58543"/>
  <c r="L49" i="58543"/>
  <c r="K44" i="58543" s="1"/>
  <c r="E50" i="58543"/>
  <c r="D44" i="58543" s="1"/>
  <c r="E51" i="58543"/>
  <c r="E46" i="58543" s="1"/>
  <c r="D21" i="58537" l="1"/>
  <c r="C192" i="58537"/>
  <c r="C81" i="58537" s="1"/>
  <c r="H11" i="58548"/>
  <c r="B16" i="58548" s="1"/>
  <c r="H12" i="58548"/>
  <c r="D94" i="58536"/>
  <c r="F93" i="58536"/>
  <c r="F94" i="58536" s="1"/>
  <c r="B194" i="58550"/>
  <c r="E194" i="58550"/>
  <c r="D94" i="58537"/>
  <c r="F93" i="58537"/>
  <c r="F94" i="58537" s="1"/>
  <c r="H34" i="58537"/>
  <c r="D21" i="58544"/>
  <c r="H34" i="58544" s="1"/>
  <c r="G164" i="58540"/>
  <c r="G164" i="58544"/>
  <c r="I13" i="58541"/>
  <c r="I14" i="58541" s="1"/>
  <c r="I13" i="58550"/>
  <c r="I14" i="58550" s="1"/>
  <c r="K28" i="8"/>
  <c r="K29" i="8" s="1"/>
  <c r="M29" i="8" s="1"/>
  <c r="G231" i="58545"/>
  <c r="C93" i="58545"/>
  <c r="C94" i="58545" s="1"/>
  <c r="E302" i="58544"/>
  <c r="E133" i="58544"/>
  <c r="G181" i="58536"/>
  <c r="M36" i="8"/>
  <c r="AX36" i="58538"/>
  <c r="AY36" i="58538" s="1"/>
  <c r="G199" i="58545"/>
  <c r="E132" i="58545"/>
  <c r="H48" i="58545"/>
  <c r="G170" i="58544"/>
  <c r="G171" i="58544" s="1"/>
  <c r="G155" i="58540"/>
  <c r="B33" i="58541"/>
  <c r="E69" i="58541"/>
  <c r="B69" i="58541" s="1"/>
  <c r="N197" i="58541"/>
  <c r="AY53" i="58538"/>
  <c r="BC35" i="58538"/>
  <c r="BF35" i="58538" s="1"/>
  <c r="E225" i="58545"/>
  <c r="D83" i="58545" s="1"/>
  <c r="G224" i="58540"/>
  <c r="E171" i="58536"/>
  <c r="F22" i="58536" s="1"/>
  <c r="I13" i="58553"/>
  <c r="I14" i="58553" s="1"/>
  <c r="G55" i="4"/>
  <c r="J116" i="58546"/>
  <c r="I24" i="58541"/>
  <c r="I15" i="58541" s="1"/>
  <c r="F24" i="58541" s="1"/>
  <c r="M43" i="8"/>
  <c r="M47" i="8" s="1"/>
  <c r="I12" i="58552"/>
  <c r="H43" i="58545"/>
  <c r="E186" i="58540"/>
  <c r="E190" i="58540" s="1"/>
  <c r="D67" i="58540"/>
  <c r="D30" i="58536"/>
  <c r="BG35" i="58538"/>
  <c r="G200" i="58544"/>
  <c r="E133" i="58536"/>
  <c r="E193" i="58541"/>
  <c r="B198" i="58541" s="1"/>
  <c r="B193" i="58541"/>
  <c r="E17" i="58543"/>
  <c r="D23" i="58543" s="1"/>
  <c r="E18" i="58543"/>
  <c r="F23" i="58543" s="1"/>
  <c r="B6" i="58553"/>
  <c r="F23" i="58553"/>
  <c r="E69" i="58553"/>
  <c r="J18" i="58543"/>
  <c r="M23" i="58543" s="1"/>
  <c r="J17" i="58543"/>
  <c r="K23" i="58543" s="1"/>
  <c r="D108" i="58546"/>
  <c r="D109" i="58546" s="1"/>
  <c r="F107" i="58546" s="1"/>
  <c r="D105" i="58546"/>
  <c r="D106" i="58546" s="1"/>
  <c r="L25" i="58543"/>
  <c r="H69" i="58553"/>
  <c r="J69" i="58553" s="1"/>
  <c r="B70" i="58553"/>
  <c r="H70" i="58553"/>
  <c r="H194" i="58550"/>
  <c r="H193" i="58550"/>
  <c r="J193" i="58550" s="1"/>
  <c r="M197" i="58550"/>
  <c r="L50" i="58543"/>
  <c r="M44" i="58543" s="1"/>
  <c r="B24" i="58553"/>
  <c r="H13" i="58548"/>
  <c r="H14" i="58548" s="1"/>
  <c r="E49" i="58543"/>
  <c r="F44" i="58543" s="1"/>
  <c r="J35" i="58541"/>
  <c r="R35" i="58541" s="1"/>
  <c r="B68" i="58541"/>
  <c r="B74" i="58541"/>
  <c r="B195" i="58553"/>
  <c r="E195" i="58553"/>
  <c r="N197" i="58553" s="1"/>
  <c r="B25" i="58541"/>
  <c r="J4" i="58553"/>
  <c r="J5" i="58553" s="1"/>
  <c r="B69" i="58550"/>
  <c r="J68" i="58550"/>
  <c r="I12" i="58547"/>
  <c r="I13" i="58547" s="1"/>
  <c r="I11" i="58547"/>
  <c r="H42" i="58537"/>
  <c r="I22" i="58553"/>
  <c r="I23" i="58553" s="1"/>
  <c r="I15" i="58553"/>
  <c r="F24" i="58553" s="1"/>
  <c r="H43" i="58537"/>
  <c r="M242" i="58537"/>
  <c r="H11" i="58552"/>
  <c r="B16" i="58552" s="1"/>
  <c r="H12" i="58552"/>
  <c r="E71" i="58550"/>
  <c r="B25" i="58550"/>
  <c r="N62" i="58539"/>
  <c r="J53" i="58539"/>
  <c r="BF34" i="58538"/>
  <c r="BG34" i="58538" s="1"/>
  <c r="B6" i="58550"/>
  <c r="J4" i="58550"/>
  <c r="J5" i="58550" s="1"/>
  <c r="F23" i="58550"/>
  <c r="I11" i="58548"/>
  <c r="C16" i="58548" s="1"/>
  <c r="I12" i="58548"/>
  <c r="D31" i="58544"/>
  <c r="E93" i="58544" s="1"/>
  <c r="E94" i="58544" s="1"/>
  <c r="E190" i="58544"/>
  <c r="E187" i="58544"/>
  <c r="G187" i="58544" s="1"/>
  <c r="I13" i="58552"/>
  <c r="I14" i="58552" s="1"/>
  <c r="C15" i="58552"/>
  <c r="C17" i="58552" s="1"/>
  <c r="C20" i="58552" s="1"/>
  <c r="AX37" i="58538"/>
  <c r="BC36" i="58538"/>
  <c r="BF36" i="58538" s="1"/>
  <c r="BG36" i="58538" s="1"/>
  <c r="M39" i="8"/>
  <c r="M42" i="8" s="1"/>
  <c r="B74" i="58550"/>
  <c r="J35" i="58550"/>
  <c r="R35" i="58550" s="1"/>
  <c r="B68" i="58550"/>
  <c r="G56" i="4"/>
  <c r="AY73" i="58538"/>
  <c r="BG73" i="58538"/>
  <c r="E132" i="58537"/>
  <c r="G130" i="58537"/>
  <c r="G225" i="58537" s="1"/>
  <c r="E225" i="58537"/>
  <c r="D83" i="58537" s="1"/>
  <c r="D67" i="58537"/>
  <c r="G174" i="58545"/>
  <c r="E180" i="58545"/>
  <c r="B46" i="58548"/>
  <c r="B48" i="58548" s="1"/>
  <c r="H11" i="58547"/>
  <c r="H12" i="58547"/>
  <c r="H13" i="58547" s="1"/>
  <c r="AX55" i="58538"/>
  <c r="BC54" i="58538"/>
  <c r="AX18" i="58538"/>
  <c r="AY17" i="58538"/>
  <c r="BC17" i="58538"/>
  <c r="BC74" i="58538"/>
  <c r="BF74" i="58538" s="1"/>
  <c r="BG74" i="58538" s="1"/>
  <c r="AY74" i="58538"/>
  <c r="AX75" i="58538"/>
  <c r="BF53" i="58538"/>
  <c r="BG53" i="58538" s="1"/>
  <c r="D31" i="58537"/>
  <c r="E93" i="58537" s="1"/>
  <c r="E94" i="58537" s="1"/>
  <c r="E186" i="58537"/>
  <c r="G186" i="58537" s="1"/>
  <c r="E189" i="58537"/>
  <c r="G184" i="58537"/>
  <c r="H33" i="58544"/>
  <c r="I22" i="58550"/>
  <c r="I23" i="58550" s="1"/>
  <c r="H16" i="58545"/>
  <c r="G154" i="58545"/>
  <c r="G181" i="58540"/>
  <c r="G185" i="58540"/>
  <c r="H82" i="58536"/>
  <c r="D94" i="58544"/>
  <c r="F93" i="58544"/>
  <c r="F94" i="58544" s="1"/>
  <c r="D30" i="58544"/>
  <c r="C93" i="58544"/>
  <c r="C94" i="58544" s="1"/>
  <c r="AY34" i="58538"/>
  <c r="G184" i="58545"/>
  <c r="G180" i="58545"/>
  <c r="G223" i="58545"/>
  <c r="E301" i="58545"/>
  <c r="D94" i="58540"/>
  <c r="F93" i="58540"/>
  <c r="F94" i="58540" s="1"/>
  <c r="G231" i="58537"/>
  <c r="D49" i="58540"/>
  <c r="C97" i="58540" s="1"/>
  <c r="C98" i="58540" s="1"/>
  <c r="H16" i="58536"/>
  <c r="Z209" i="58537"/>
  <c r="Z210" i="58537" s="1"/>
  <c r="W214" i="58537"/>
  <c r="D21" i="58536"/>
  <c r="X214" i="58545"/>
  <c r="W214" i="58545"/>
  <c r="W210" i="58545"/>
  <c r="G103" i="58544"/>
  <c r="H94" i="58544"/>
  <c r="G133" i="58544"/>
  <c r="D69" i="58544"/>
  <c r="E137" i="58544"/>
  <c r="H68" i="58544"/>
  <c r="D28" i="58536"/>
  <c r="E186" i="58536"/>
  <c r="G133" i="58536"/>
  <c r="E189" i="58545"/>
  <c r="D31" i="58545"/>
  <c r="D69" i="58545"/>
  <c r="D21" i="58540"/>
  <c r="C193" i="58540"/>
  <c r="C81" i="58540" s="1"/>
  <c r="G131" i="58540"/>
  <c r="G226" i="58540" s="1"/>
  <c r="F24" i="58540"/>
  <c r="D49" i="58536"/>
  <c r="C97" i="58536" s="1"/>
  <c r="C98" i="58536" s="1"/>
  <c r="G130" i="58545"/>
  <c r="G225" i="58545" s="1"/>
  <c r="L21" i="1"/>
  <c r="E34" i="1"/>
  <c r="E133" i="58540"/>
  <c r="G131" i="58536"/>
  <c r="G226" i="58536" s="1"/>
  <c r="B194" i="58541" l="1"/>
  <c r="E194" i="58541"/>
  <c r="E187" i="58540"/>
  <c r="G187" i="58540" s="1"/>
  <c r="D31" i="58540"/>
  <c r="E137" i="58536"/>
  <c r="D69" i="58536"/>
  <c r="E136" i="58545"/>
  <c r="G132" i="58545"/>
  <c r="E24" i="58541"/>
  <c r="I22" i="58541"/>
  <c r="I23" i="58541" s="1"/>
  <c r="H14" i="58547"/>
  <c r="H15" i="58547" s="1"/>
  <c r="H17" i="58547" s="1"/>
  <c r="BC55" i="58538"/>
  <c r="BF55" i="58538" s="1"/>
  <c r="BG55" i="58538" s="1"/>
  <c r="AY55" i="58538"/>
  <c r="AX56" i="58538"/>
  <c r="I14" i="58547"/>
  <c r="H34" i="58540"/>
  <c r="G103" i="58540"/>
  <c r="H35" i="58544"/>
  <c r="B193" i="58550"/>
  <c r="E193" i="58550"/>
  <c r="H68" i="58550"/>
  <c r="G107" i="58546"/>
  <c r="H107" i="58546" s="1"/>
  <c r="H109" i="58546" s="1"/>
  <c r="G132" i="58537"/>
  <c r="D69" i="58537"/>
  <c r="E136" i="58537"/>
  <c r="B71" i="58550"/>
  <c r="N197" i="58550"/>
  <c r="H69" i="58550"/>
  <c r="J69" i="58550" s="1"/>
  <c r="B15" i="58548"/>
  <c r="B17" i="58548" s="1"/>
  <c r="B20" i="58548" s="1"/>
  <c r="J190" i="58550"/>
  <c r="H195" i="58550"/>
  <c r="J195" i="58550" s="1"/>
  <c r="B199" i="58550" s="1"/>
  <c r="H206" i="58550" s="1"/>
  <c r="H207" i="58550" s="1"/>
  <c r="H208" i="58550" s="1"/>
  <c r="H209" i="58550" s="1"/>
  <c r="H210" i="58550" s="1"/>
  <c r="H211" i="58550" s="1"/>
  <c r="H212" i="58550" s="1"/>
  <c r="H213" i="58550" s="1"/>
  <c r="H214" i="58550" s="1"/>
  <c r="H215" i="58550" s="1"/>
  <c r="H216" i="58550" s="1"/>
  <c r="H217" i="58550" s="1"/>
  <c r="H218" i="58550" s="1"/>
  <c r="H219" i="58550" s="1"/>
  <c r="H220" i="58550" s="1"/>
  <c r="H221" i="58550" s="1"/>
  <c r="H222" i="58550" s="1"/>
  <c r="H223" i="58550" s="1"/>
  <c r="H224" i="58550" s="1"/>
  <c r="H225" i="58550" s="1"/>
  <c r="H226" i="58550" s="1"/>
  <c r="H227" i="58550" s="1"/>
  <c r="H228" i="58550" s="1"/>
  <c r="H229" i="58550" s="1"/>
  <c r="H230" i="58550" s="1"/>
  <c r="H231" i="58550" s="1"/>
  <c r="H232" i="58550" s="1"/>
  <c r="H233" i="58550" s="1"/>
  <c r="H234" i="58550" s="1"/>
  <c r="H235" i="58550" s="1"/>
  <c r="H236" i="58550" s="1"/>
  <c r="H237" i="58550" s="1"/>
  <c r="H238" i="58550" s="1"/>
  <c r="H239" i="58550" s="1"/>
  <c r="H240" i="58550" s="1"/>
  <c r="H241" i="58550" s="1"/>
  <c r="H242" i="58550" s="1"/>
  <c r="H243" i="58550" s="1"/>
  <c r="H244" i="58550" s="1"/>
  <c r="H245" i="58550" s="1"/>
  <c r="H246" i="58550" s="1"/>
  <c r="H247" i="58550" s="1"/>
  <c r="H248" i="58550" s="1"/>
  <c r="H249" i="58550" s="1"/>
  <c r="H250" i="58550" s="1"/>
  <c r="H251" i="58550" s="1"/>
  <c r="H252" i="58550" s="1"/>
  <c r="H253" i="58550" s="1"/>
  <c r="H254" i="58550" s="1"/>
  <c r="B69" i="58553"/>
  <c r="J68" i="58553"/>
  <c r="B74" i="58553"/>
  <c r="H33" i="58537"/>
  <c r="B33" i="58550"/>
  <c r="E6" i="58550"/>
  <c r="B194" i="58553"/>
  <c r="E194" i="58553"/>
  <c r="E193" i="58553"/>
  <c r="L197" i="58553" s="1"/>
  <c r="B193" i="58553"/>
  <c r="G111" i="58544"/>
  <c r="G189" i="58545"/>
  <c r="E190" i="58545"/>
  <c r="D33" i="58545"/>
  <c r="E190" i="58537"/>
  <c r="G189" i="58537"/>
  <c r="D33" i="58537"/>
  <c r="BF17" i="58538"/>
  <c r="BG17" i="58538" s="1"/>
  <c r="D33" i="58544"/>
  <c r="G190" i="58544"/>
  <c r="E191" i="58544"/>
  <c r="H13" i="58552"/>
  <c r="H14" i="58552" s="1"/>
  <c r="L76" i="58553"/>
  <c r="E6" i="58553"/>
  <c r="B33" i="58553"/>
  <c r="BF54" i="58538"/>
  <c r="BG54" i="58538" s="1"/>
  <c r="N54" i="58539"/>
  <c r="J54" i="58539"/>
  <c r="J55" i="58539" s="1"/>
  <c r="J56" i="58539" s="1"/>
  <c r="J57" i="58539"/>
  <c r="N55" i="58539"/>
  <c r="J192" i="58541"/>
  <c r="L197" i="58541"/>
  <c r="E93" i="58545"/>
  <c r="E94" i="58545" s="1"/>
  <c r="H33" i="58545"/>
  <c r="H15" i="58548"/>
  <c r="H17" i="58548" s="1"/>
  <c r="B18" i="58548"/>
  <c r="H18" i="58547"/>
  <c r="B15" i="58547" s="1"/>
  <c r="H19" i="58547"/>
  <c r="G133" i="58540"/>
  <c r="D69" i="58540"/>
  <c r="E137" i="58540"/>
  <c r="D31" i="58536"/>
  <c r="E190" i="58536"/>
  <c r="E187" i="58536"/>
  <c r="G187" i="58536" s="1"/>
  <c r="E36" i="1"/>
  <c r="L22" i="1"/>
  <c r="E35" i="1"/>
  <c r="E32" i="1"/>
  <c r="E141" i="58544"/>
  <c r="E208" i="58544"/>
  <c r="D70" i="58544"/>
  <c r="G137" i="58544"/>
  <c r="H33" i="58540"/>
  <c r="E93" i="58540"/>
  <c r="E94" i="58540" s="1"/>
  <c r="AY75" i="58538"/>
  <c r="AX76" i="58538"/>
  <c r="BC75" i="58538"/>
  <c r="BF75" i="58538" s="1"/>
  <c r="BG75" i="58538" s="1"/>
  <c r="C192" i="58545"/>
  <c r="C81" i="58545" s="1"/>
  <c r="D21" i="58545"/>
  <c r="J35" i="58553"/>
  <c r="R35" i="58553" s="1"/>
  <c r="J66" i="58553"/>
  <c r="H71" i="58553"/>
  <c r="J71" i="58553" s="1"/>
  <c r="B75" i="58553" s="1"/>
  <c r="H82" i="58553" s="1"/>
  <c r="H83" i="58553" s="1"/>
  <c r="H84" i="58553" s="1"/>
  <c r="H85" i="58553" s="1"/>
  <c r="H86" i="58553" s="1"/>
  <c r="H87" i="58553" s="1"/>
  <c r="E96" i="58546"/>
  <c r="F108" i="58546"/>
  <c r="G108" i="58546" s="1"/>
  <c r="H108" i="58546" s="1"/>
  <c r="L17" i="58552"/>
  <c r="L19" i="58552" s="1"/>
  <c r="L20" i="58552" s="1"/>
  <c r="C18" i="58552"/>
  <c r="I15" i="58552"/>
  <c r="H34" i="58536"/>
  <c r="G103" i="58536"/>
  <c r="G190" i="58540"/>
  <c r="D33" i="58540"/>
  <c r="E191" i="58540"/>
  <c r="AX19" i="58538"/>
  <c r="BC18" i="58538"/>
  <c r="BF18" i="58538" s="1"/>
  <c r="BG18" i="58538" s="1"/>
  <c r="AY18" i="58538"/>
  <c r="BC37" i="58538"/>
  <c r="BC39" i="58538" s="1"/>
  <c r="AY37" i="58538"/>
  <c r="AY39" i="58538" s="1"/>
  <c r="AY41" i="58538" s="1"/>
  <c r="I13" i="58548"/>
  <c r="I14" i="58548" s="1"/>
  <c r="C15" i="58548"/>
  <c r="C17" i="58548" s="1"/>
  <c r="C20" i="58548" s="1"/>
  <c r="E208" i="58536" l="1"/>
  <c r="E141" i="58536"/>
  <c r="G137" i="58536"/>
  <c r="D70" i="58536"/>
  <c r="H193" i="58541"/>
  <c r="J193" i="58541" s="1"/>
  <c r="H194" i="58541"/>
  <c r="B24" i="58541"/>
  <c r="J4" i="58541"/>
  <c r="E70" i="58541"/>
  <c r="E207" i="58545"/>
  <c r="E140" i="58545"/>
  <c r="D70" i="58545"/>
  <c r="G136" i="58545"/>
  <c r="E162" i="58545"/>
  <c r="BC76" i="58538"/>
  <c r="AY76" i="58538"/>
  <c r="G111" i="58536"/>
  <c r="L20" i="1"/>
  <c r="L23" i="1" s="1"/>
  <c r="L26" i="1" s="1"/>
  <c r="E38" i="1"/>
  <c r="E39" i="1" s="1"/>
  <c r="N57" i="58539"/>
  <c r="H34" i="58545"/>
  <c r="H35" i="58545" s="1"/>
  <c r="G208" i="58544"/>
  <c r="G141" i="58544"/>
  <c r="E207" i="58537"/>
  <c r="D70" i="58537"/>
  <c r="G136" i="58537"/>
  <c r="E162" i="58537"/>
  <c r="E140" i="58537"/>
  <c r="G111" i="58540"/>
  <c r="L17" i="58547"/>
  <c r="L19" i="58547" s="1"/>
  <c r="L20" i="58547" s="1"/>
  <c r="I15" i="58547"/>
  <c r="I17" i="58547" s="1"/>
  <c r="B15" i="58552"/>
  <c r="B17" i="58552" s="1"/>
  <c r="B20" i="58552" s="1"/>
  <c r="E194" i="58544"/>
  <c r="E192" i="58544"/>
  <c r="G191" i="58544"/>
  <c r="D34" i="58544"/>
  <c r="F76" i="58550"/>
  <c r="J76" i="58550" s="1"/>
  <c r="F75" i="58550"/>
  <c r="J75" i="58550" s="1"/>
  <c r="F74" i="58550"/>
  <c r="J74" i="58550" s="1"/>
  <c r="J192" i="58553"/>
  <c r="B198" i="58553"/>
  <c r="AY19" i="58538"/>
  <c r="AY22" i="58538" s="1"/>
  <c r="AY24" i="58538" s="1"/>
  <c r="AY42" i="58538" s="1"/>
  <c r="BC19" i="58538"/>
  <c r="I17" i="58552"/>
  <c r="L29" i="58552"/>
  <c r="L31" i="58552" s="1"/>
  <c r="L32" i="58552" s="1"/>
  <c r="L34" i="58552" s="1"/>
  <c r="H192" i="58541"/>
  <c r="H193" i="58553"/>
  <c r="J193" i="58553" s="1"/>
  <c r="M197" i="58553"/>
  <c r="H194" i="58553"/>
  <c r="H68" i="58553"/>
  <c r="H35" i="58540"/>
  <c r="E93" i="58536"/>
  <c r="H33" i="58536"/>
  <c r="H35" i="58536" s="1"/>
  <c r="L17" i="58548"/>
  <c r="L19" i="58548" s="1"/>
  <c r="L20" i="58548" s="1"/>
  <c r="C18" i="58548"/>
  <c r="I15" i="58548"/>
  <c r="H88" i="58553"/>
  <c r="H89" i="58553" s="1"/>
  <c r="H90" i="58553" s="1"/>
  <c r="H91" i="58553" s="1"/>
  <c r="H92" i="58553" s="1"/>
  <c r="H93" i="58553" s="1"/>
  <c r="H94" i="58553" s="1"/>
  <c r="H95" i="58553" s="1"/>
  <c r="H96" i="58553" s="1"/>
  <c r="H97" i="58553" s="1"/>
  <c r="H98" i="58553" s="1"/>
  <c r="H99" i="58553" s="1"/>
  <c r="H100" i="58553" s="1"/>
  <c r="H101" i="58553" s="1"/>
  <c r="H102" i="58553" s="1"/>
  <c r="H103" i="58553" s="1"/>
  <c r="H104" i="58553" s="1"/>
  <c r="H105" i="58553" s="1"/>
  <c r="H106" i="58553" s="1"/>
  <c r="H107" i="58553" s="1"/>
  <c r="H108" i="58553" s="1"/>
  <c r="H109" i="58553" s="1"/>
  <c r="H110" i="58553" s="1"/>
  <c r="H111" i="58553" s="1"/>
  <c r="H112" i="58553" s="1"/>
  <c r="H113" i="58553" s="1"/>
  <c r="H114" i="58553" s="1"/>
  <c r="H115" i="58553" s="1"/>
  <c r="H116" i="58553" s="1"/>
  <c r="H117" i="58553" s="1"/>
  <c r="H118" i="58553" s="1"/>
  <c r="H119" i="58553" s="1"/>
  <c r="H120" i="58553" s="1"/>
  <c r="H121" i="58553" s="1"/>
  <c r="H122" i="58553" s="1"/>
  <c r="H123" i="58553" s="1"/>
  <c r="H124" i="58553" s="1"/>
  <c r="H125" i="58553" s="1"/>
  <c r="H126" i="58553" s="1"/>
  <c r="H127" i="58553" s="1"/>
  <c r="H128" i="58553" s="1"/>
  <c r="H129" i="58553" s="1"/>
  <c r="H130" i="58553" s="1"/>
  <c r="H131" i="58553" s="1"/>
  <c r="H132" i="58553" s="1"/>
  <c r="H133" i="58553" s="1"/>
  <c r="H134" i="58553" s="1"/>
  <c r="H135" i="58553" s="1"/>
  <c r="H136" i="58553" s="1"/>
  <c r="H137" i="58553" s="1"/>
  <c r="H138" i="58553" s="1"/>
  <c r="H139" i="58553" s="1"/>
  <c r="H140" i="58553" s="1"/>
  <c r="H141" i="58553" s="1"/>
  <c r="H142" i="58553" s="1"/>
  <c r="H143" i="58553" s="1"/>
  <c r="H144" i="58553" s="1"/>
  <c r="H145" i="58553" s="1"/>
  <c r="H146" i="58553" s="1"/>
  <c r="H147" i="58553" s="1"/>
  <c r="H148" i="58553" s="1"/>
  <c r="H149" i="58553" s="1"/>
  <c r="H150" i="58553" s="1"/>
  <c r="H151" i="58553" s="1"/>
  <c r="H152" i="58553" s="1"/>
  <c r="H153" i="58553" s="1"/>
  <c r="H154" i="58553" s="1"/>
  <c r="H155" i="58553" s="1"/>
  <c r="H156" i="58553" s="1"/>
  <c r="M199" i="58553"/>
  <c r="D34" i="58540"/>
  <c r="G191" i="58540"/>
  <c r="E192" i="58540"/>
  <c r="E194" i="58540"/>
  <c r="AX77" i="58538"/>
  <c r="AX78" i="58538" s="1"/>
  <c r="G137" i="58540"/>
  <c r="D70" i="58540"/>
  <c r="E208" i="58540"/>
  <c r="E141" i="58540"/>
  <c r="H19" i="58548"/>
  <c r="H28" i="58548" s="1"/>
  <c r="H18" i="58548"/>
  <c r="B23" i="58548" s="1"/>
  <c r="B24" i="58548" s="1"/>
  <c r="J6" i="58553"/>
  <c r="B34" i="58553" s="1"/>
  <c r="G190" i="58537"/>
  <c r="D34" i="58537"/>
  <c r="E191" i="58537"/>
  <c r="E193" i="58537"/>
  <c r="H15" i="58552"/>
  <c r="H17" i="58552" s="1"/>
  <c r="B18" i="58552"/>
  <c r="J6" i="58550"/>
  <c r="B34" i="58550" s="1"/>
  <c r="J66" i="58550"/>
  <c r="H71" i="58550"/>
  <c r="J71" i="58550" s="1"/>
  <c r="B75" i="58550" s="1"/>
  <c r="H82" i="58550" s="1"/>
  <c r="J192" i="58550"/>
  <c r="L197" i="58550"/>
  <c r="B198" i="58550"/>
  <c r="BC56" i="58538"/>
  <c r="BF56" i="58538" s="1"/>
  <c r="BG56" i="58538" s="1"/>
  <c r="AY56" i="58538"/>
  <c r="AX57" i="58538"/>
  <c r="G190" i="58536"/>
  <c r="E191" i="58536"/>
  <c r="D33" i="58536"/>
  <c r="E193" i="58545"/>
  <c r="G190" i="58545"/>
  <c r="D34" i="58545"/>
  <c r="E191" i="58545"/>
  <c r="N56" i="58539"/>
  <c r="N59" i="58539" s="1"/>
  <c r="C115" i="58537"/>
  <c r="H35" i="58537"/>
  <c r="BF37" i="58538"/>
  <c r="BG37" i="58538" s="1"/>
  <c r="BG39" i="58538" s="1"/>
  <c r="BG41" i="58538" s="1"/>
  <c r="BC40" i="58538"/>
  <c r="BC41" i="58538" s="1"/>
  <c r="H20" i="58552"/>
  <c r="H27" i="58552" s="1"/>
  <c r="I20" i="58552"/>
  <c r="I27" i="58552" s="1"/>
  <c r="L22" i="58552"/>
  <c r="E146" i="58544"/>
  <c r="D11" i="58544"/>
  <c r="F109" i="58546"/>
  <c r="H94" i="58540"/>
  <c r="J5" i="58541" l="1"/>
  <c r="J6" i="58541"/>
  <c r="B34" i="58541" s="1"/>
  <c r="E163" i="58545"/>
  <c r="D78" i="58545"/>
  <c r="G162" i="58545"/>
  <c r="E169" i="58545"/>
  <c r="G207" i="58545"/>
  <c r="G140" i="58545"/>
  <c r="H195" i="58541"/>
  <c r="J195" i="58541" s="1"/>
  <c r="B199" i="58541" s="1"/>
  <c r="H206" i="58541" s="1"/>
  <c r="H207" i="58541" s="1"/>
  <c r="H208" i="58541" s="1"/>
  <c r="H209" i="58541" s="1"/>
  <c r="H210" i="58541" s="1"/>
  <c r="H211" i="58541" s="1"/>
  <c r="H212" i="58541" s="1"/>
  <c r="H213" i="58541" s="1"/>
  <c r="H214" i="58541" s="1"/>
  <c r="H215" i="58541" s="1"/>
  <c r="H216" i="58541" s="1"/>
  <c r="H217" i="58541" s="1"/>
  <c r="H218" i="58541" s="1"/>
  <c r="H219" i="58541" s="1"/>
  <c r="H220" i="58541" s="1"/>
  <c r="H221" i="58541" s="1"/>
  <c r="H222" i="58541" s="1"/>
  <c r="H223" i="58541" s="1"/>
  <c r="H224" i="58541" s="1"/>
  <c r="H225" i="58541" s="1"/>
  <c r="H226" i="58541" s="1"/>
  <c r="H227" i="58541" s="1"/>
  <c r="H228" i="58541" s="1"/>
  <c r="H229" i="58541" s="1"/>
  <c r="H230" i="58541" s="1"/>
  <c r="H231" i="58541" s="1"/>
  <c r="H232" i="58541" s="1"/>
  <c r="H233" i="58541" s="1"/>
  <c r="H234" i="58541" s="1"/>
  <c r="H235" i="58541" s="1"/>
  <c r="H236" i="58541" s="1"/>
  <c r="H237" i="58541" s="1"/>
  <c r="H238" i="58541" s="1"/>
  <c r="H239" i="58541" s="1"/>
  <c r="H240" i="58541" s="1"/>
  <c r="H241" i="58541" s="1"/>
  <c r="H242" i="58541" s="1"/>
  <c r="H243" i="58541" s="1"/>
  <c r="H244" i="58541" s="1"/>
  <c r="H245" i="58541" s="1"/>
  <c r="H246" i="58541" s="1"/>
  <c r="H247" i="58541" s="1"/>
  <c r="H248" i="58541" s="1"/>
  <c r="H249" i="58541" s="1"/>
  <c r="H250" i="58541" s="1"/>
  <c r="H251" i="58541" s="1"/>
  <c r="H252" i="58541" s="1"/>
  <c r="H253" i="58541" s="1"/>
  <c r="H254" i="58541" s="1"/>
  <c r="J190" i="58541"/>
  <c r="E145" i="58545"/>
  <c r="D11" i="58545"/>
  <c r="G141" i="58536"/>
  <c r="G208" i="58536"/>
  <c r="D11" i="58536"/>
  <c r="E146" i="58536"/>
  <c r="H69" i="58541"/>
  <c r="J69" i="58541" s="1"/>
  <c r="H70" i="58541"/>
  <c r="M197" i="58541"/>
  <c r="J68" i="58541"/>
  <c r="B70" i="58541"/>
  <c r="B35" i="58550"/>
  <c r="H36" i="58550"/>
  <c r="I18" i="58552"/>
  <c r="I19" i="58552"/>
  <c r="I28" i="58552" s="1"/>
  <c r="G207" i="58537"/>
  <c r="G140" i="58537"/>
  <c r="G146" i="58544"/>
  <c r="E147" i="58544"/>
  <c r="BF19" i="58538"/>
  <c r="BG19" i="58538" s="1"/>
  <c r="BG22" i="58538" s="1"/>
  <c r="BG24" i="58538" s="1"/>
  <c r="BC22" i="58538"/>
  <c r="BC23" i="58538"/>
  <c r="BC24" i="58538" s="1"/>
  <c r="AY78" i="58538"/>
  <c r="BC78" i="58538"/>
  <c r="BF78" i="58538" s="1"/>
  <c r="BG78" i="58538" s="1"/>
  <c r="E194" i="58536"/>
  <c r="D34" i="58536"/>
  <c r="G191" i="58536"/>
  <c r="E192" i="58536"/>
  <c r="H19" i="58552"/>
  <c r="H28" i="58552" s="1"/>
  <c r="H18" i="58552"/>
  <c r="B23" i="58552" s="1"/>
  <c r="B24" i="58552" s="1"/>
  <c r="H195" i="58553"/>
  <c r="J195" i="58553" s="1"/>
  <c r="B199" i="58553" s="1"/>
  <c r="H206" i="58553" s="1"/>
  <c r="H207" i="58553" s="1"/>
  <c r="H208" i="58553" s="1"/>
  <c r="H209" i="58553" s="1"/>
  <c r="H210" i="58553" s="1"/>
  <c r="H211" i="58553" s="1"/>
  <c r="H212" i="58553" s="1"/>
  <c r="H213" i="58553" s="1"/>
  <c r="H214" i="58553" s="1"/>
  <c r="H215" i="58553" s="1"/>
  <c r="H216" i="58553" s="1"/>
  <c r="H217" i="58553" s="1"/>
  <c r="H218" i="58553" s="1"/>
  <c r="H219" i="58553" s="1"/>
  <c r="H220" i="58553" s="1"/>
  <c r="H221" i="58553" s="1"/>
  <c r="H222" i="58553" s="1"/>
  <c r="H223" i="58553" s="1"/>
  <c r="H224" i="58553" s="1"/>
  <c r="H225" i="58553" s="1"/>
  <c r="H226" i="58553" s="1"/>
  <c r="H227" i="58553" s="1"/>
  <c r="H228" i="58553" s="1"/>
  <c r="H229" i="58553" s="1"/>
  <c r="H230" i="58553" s="1"/>
  <c r="H231" i="58553" s="1"/>
  <c r="H232" i="58553" s="1"/>
  <c r="H233" i="58553" s="1"/>
  <c r="H234" i="58553" s="1"/>
  <c r="H235" i="58553" s="1"/>
  <c r="H236" i="58553" s="1"/>
  <c r="H237" i="58553" s="1"/>
  <c r="H238" i="58553" s="1"/>
  <c r="H239" i="58553" s="1"/>
  <c r="H240" i="58553" s="1"/>
  <c r="H241" i="58553" s="1"/>
  <c r="H242" i="58553" s="1"/>
  <c r="H243" i="58553" s="1"/>
  <c r="H244" i="58553" s="1"/>
  <c r="H245" i="58553" s="1"/>
  <c r="H246" i="58553" s="1"/>
  <c r="H247" i="58553" s="1"/>
  <c r="H248" i="58553" s="1"/>
  <c r="H249" i="58553" s="1"/>
  <c r="H250" i="58553" s="1"/>
  <c r="H251" i="58553" s="1"/>
  <c r="H252" i="58553" s="1"/>
  <c r="H253" i="58553" s="1"/>
  <c r="H254" i="58553" s="1"/>
  <c r="J190" i="58553"/>
  <c r="D80" i="58544"/>
  <c r="G192" i="58544"/>
  <c r="N58" i="58539"/>
  <c r="N67" i="58539" s="1"/>
  <c r="G193" i="58545"/>
  <c r="D35" i="58545"/>
  <c r="L22" i="58548"/>
  <c r="I20" i="58548"/>
  <c r="I27" i="58548" s="1"/>
  <c r="H20" i="58548"/>
  <c r="H27" i="58548" s="1"/>
  <c r="H192" i="58550"/>
  <c r="D35" i="58537"/>
  <c r="G193" i="58537"/>
  <c r="D35" i="58544"/>
  <c r="G194" i="58544"/>
  <c r="BF76" i="58538"/>
  <c r="BG76" i="58538" s="1"/>
  <c r="AY57" i="58538"/>
  <c r="AY59" i="58538" s="1"/>
  <c r="AY61" i="58538" s="1"/>
  <c r="AY62" i="58538" s="1"/>
  <c r="BC57" i="58538"/>
  <c r="BF57" i="58538" s="1"/>
  <c r="BG57" i="58538" s="1"/>
  <c r="BG59" i="58538" s="1"/>
  <c r="BG61" i="58538" s="1"/>
  <c r="BG62" i="58538" s="1"/>
  <c r="H83" i="58550"/>
  <c r="K82" i="58550"/>
  <c r="S63" i="58550" s="1"/>
  <c r="G191" i="58537"/>
  <c r="D80" i="58537"/>
  <c r="E146" i="58540"/>
  <c r="D11" i="58540"/>
  <c r="BC77" i="58538"/>
  <c r="AY77" i="58538"/>
  <c r="AY80" i="58538" s="1"/>
  <c r="AY82" i="58538" s="1"/>
  <c r="K153" i="58553"/>
  <c r="S134" i="58553" s="1"/>
  <c r="H192" i="58553"/>
  <c r="E40" i="1"/>
  <c r="L27" i="1"/>
  <c r="L30" i="1" s="1"/>
  <c r="D80" i="58545"/>
  <c r="G191" i="58545"/>
  <c r="G194" i="58540"/>
  <c r="D35" i="58540"/>
  <c r="F76" i="58553"/>
  <c r="J76" i="58553" s="1"/>
  <c r="K126" i="58553" s="1"/>
  <c r="S107" i="58553" s="1"/>
  <c r="F75" i="58553"/>
  <c r="J75" i="58553" s="1"/>
  <c r="F74" i="58553"/>
  <c r="J74" i="58553" s="1"/>
  <c r="I19" i="58547"/>
  <c r="I18" i="58547"/>
  <c r="BG42" i="58538"/>
  <c r="D80" i="58540"/>
  <c r="G192" i="58540"/>
  <c r="I17" i="58548"/>
  <c r="L29" i="58548"/>
  <c r="L31" i="58548" s="1"/>
  <c r="L32" i="58548" s="1"/>
  <c r="L34" i="58548" s="1"/>
  <c r="E94" i="58536"/>
  <c r="H94" i="58536"/>
  <c r="F199" i="58541"/>
  <c r="J199" i="58541" s="1"/>
  <c r="F198" i="58541"/>
  <c r="J198" i="58541" s="1"/>
  <c r="F200" i="58541"/>
  <c r="J200" i="58541" s="1"/>
  <c r="H20" i="58547"/>
  <c r="H25" i="58547" s="1"/>
  <c r="I20" i="58547"/>
  <c r="I25" i="58547" s="1"/>
  <c r="L25" i="58547"/>
  <c r="D11" i="58537"/>
  <c r="E145" i="58537"/>
  <c r="B35" i="58553"/>
  <c r="H36" i="58553"/>
  <c r="G208" i="58540"/>
  <c r="G141" i="58540"/>
  <c r="K107" i="58553"/>
  <c r="S88" i="58553" s="1"/>
  <c r="K110" i="58553"/>
  <c r="S91" i="58553" s="1"/>
  <c r="H77" i="58550"/>
  <c r="K81" i="58550"/>
  <c r="S62" i="58550" s="1"/>
  <c r="K35" i="58550"/>
  <c r="S35" i="58550" s="1"/>
  <c r="D78" i="58537"/>
  <c r="E163" i="58537"/>
  <c r="G162" i="58537"/>
  <c r="E169" i="58537"/>
  <c r="F24" i="58545" l="1"/>
  <c r="E170" i="58545"/>
  <c r="F22" i="58545" s="1"/>
  <c r="K105" i="58553"/>
  <c r="S86" i="58553" s="1"/>
  <c r="G163" i="58545"/>
  <c r="G169" i="58545"/>
  <c r="G170" i="58545" s="1"/>
  <c r="E147" i="58536"/>
  <c r="G146" i="58536"/>
  <c r="K125" i="58553"/>
  <c r="S106" i="58553" s="1"/>
  <c r="K119" i="58553"/>
  <c r="S100" i="58553" s="1"/>
  <c r="H68" i="58541"/>
  <c r="G103" i="58545"/>
  <c r="G111" i="58545" s="1"/>
  <c r="G105" i="58545"/>
  <c r="H94" i="58545"/>
  <c r="G106" i="58545"/>
  <c r="G104" i="58545"/>
  <c r="G145" i="58545"/>
  <c r="E146" i="58545"/>
  <c r="K120" i="58553"/>
  <c r="S101" i="58553" s="1"/>
  <c r="K123" i="58553"/>
  <c r="S104" i="58553" s="1"/>
  <c r="K152" i="58553"/>
  <c r="S133" i="58553" s="1"/>
  <c r="B35" i="58541"/>
  <c r="H36" i="58541"/>
  <c r="J66" i="58541"/>
  <c r="H71" i="58541"/>
  <c r="J71" i="58541" s="1"/>
  <c r="B75" i="58541" s="1"/>
  <c r="H82" i="58541" s="1"/>
  <c r="AY83" i="58538"/>
  <c r="K118" i="58553"/>
  <c r="S99" i="58553" s="1"/>
  <c r="K142" i="58553"/>
  <c r="S123" i="58553" s="1"/>
  <c r="K143" i="58553"/>
  <c r="S124" i="58553" s="1"/>
  <c r="K149" i="58553"/>
  <c r="S130" i="58553" s="1"/>
  <c r="K100" i="58553"/>
  <c r="S81" i="58553" s="1"/>
  <c r="K139" i="58553"/>
  <c r="S120" i="58553" s="1"/>
  <c r="K117" i="58553"/>
  <c r="S98" i="58553" s="1"/>
  <c r="BF77" i="58538"/>
  <c r="BG77" i="58538" s="1"/>
  <c r="BC80" i="58538"/>
  <c r="F198" i="58550"/>
  <c r="J198" i="58550" s="1"/>
  <c r="F199" i="58550"/>
  <c r="J199" i="58550" s="1"/>
  <c r="F200" i="58550"/>
  <c r="J200" i="58550" s="1"/>
  <c r="K140" i="58553"/>
  <c r="S121" i="58553" s="1"/>
  <c r="K155" i="58553"/>
  <c r="S136" i="58553" s="1"/>
  <c r="H201" i="58541"/>
  <c r="K219" i="58541"/>
  <c r="K249" i="58541"/>
  <c r="K205" i="58541"/>
  <c r="S150" i="58541" s="1"/>
  <c r="K246" i="58541"/>
  <c r="K222" i="58541"/>
  <c r="K233" i="58541"/>
  <c r="K232" i="58541"/>
  <c r="K241" i="58541"/>
  <c r="K211" i="58541"/>
  <c r="K208" i="58541"/>
  <c r="K239" i="58541"/>
  <c r="K252" i="58541"/>
  <c r="K206" i="58541"/>
  <c r="K251" i="58541"/>
  <c r="K213" i="58541"/>
  <c r="K226" i="58541"/>
  <c r="K210" i="58541"/>
  <c r="K248" i="58541"/>
  <c r="K235" i="58541"/>
  <c r="K244" i="58541"/>
  <c r="K221" i="58541"/>
  <c r="K209" i="58541"/>
  <c r="K215" i="58541"/>
  <c r="K212" i="58541"/>
  <c r="K225" i="58541"/>
  <c r="K216" i="58541"/>
  <c r="K254" i="58541"/>
  <c r="K223" i="58541"/>
  <c r="K224" i="58541"/>
  <c r="K228" i="58541"/>
  <c r="K214" i="58541"/>
  <c r="K227" i="58541"/>
  <c r="K250" i="58541"/>
  <c r="K207" i="58541"/>
  <c r="K236" i="58541"/>
  <c r="K243" i="58541"/>
  <c r="K230" i="58541"/>
  <c r="K229" i="58541"/>
  <c r="K240" i="58541"/>
  <c r="K218" i="58541"/>
  <c r="K238" i="58541"/>
  <c r="K217" i="58541"/>
  <c r="K245" i="58541"/>
  <c r="K231" i="58541"/>
  <c r="K242" i="58541"/>
  <c r="K220" i="58541"/>
  <c r="K253" i="58541"/>
  <c r="K234" i="58541"/>
  <c r="K247" i="58541"/>
  <c r="K237" i="58541"/>
  <c r="K90" i="58553"/>
  <c r="S71" i="58553" s="1"/>
  <c r="K94" i="58553"/>
  <c r="S75" i="58553" s="1"/>
  <c r="K103" i="58553"/>
  <c r="S84" i="58553" s="1"/>
  <c r="BG80" i="58538"/>
  <c r="BG82" i="58538" s="1"/>
  <c r="BG83" i="58538" s="1"/>
  <c r="K144" i="58553"/>
  <c r="S125" i="58553" s="1"/>
  <c r="D80" i="58536"/>
  <c r="G192" i="58536"/>
  <c r="K145" i="58553"/>
  <c r="S126" i="58553" s="1"/>
  <c r="H37" i="58550"/>
  <c r="P36" i="58550"/>
  <c r="I36" i="58550"/>
  <c r="E170" i="58537"/>
  <c r="F22" i="58537" s="1"/>
  <c r="F24" i="58537"/>
  <c r="K121" i="58553"/>
  <c r="S102" i="58553" s="1"/>
  <c r="BC59" i="58538"/>
  <c r="I18" i="58548"/>
  <c r="I19" i="58548"/>
  <c r="I28" i="58548" s="1"/>
  <c r="K108" i="58553"/>
  <c r="S89" i="58553" s="1"/>
  <c r="K112" i="58553"/>
  <c r="S93" i="58553" s="1"/>
  <c r="H37" i="58553"/>
  <c r="P36" i="58553"/>
  <c r="I36" i="58553"/>
  <c r="H77" i="58553"/>
  <c r="K154" i="58553"/>
  <c r="S135" i="58553" s="1"/>
  <c r="K85" i="58553"/>
  <c r="S66" i="58553" s="1"/>
  <c r="K114" i="58553"/>
  <c r="S95" i="58553" s="1"/>
  <c r="K86" i="58553"/>
  <c r="S67" i="58553" s="1"/>
  <c r="K135" i="58553"/>
  <c r="S116" i="58553" s="1"/>
  <c r="K98" i="58553"/>
  <c r="S79" i="58553" s="1"/>
  <c r="K147" i="58553"/>
  <c r="S128" i="58553" s="1"/>
  <c r="K130" i="58553"/>
  <c r="S111" i="58553" s="1"/>
  <c r="K96" i="58553"/>
  <c r="S77" i="58553" s="1"/>
  <c r="K87" i="58553"/>
  <c r="S68" i="58553" s="1"/>
  <c r="K84" i="58553"/>
  <c r="S65" i="58553" s="1"/>
  <c r="K97" i="58553"/>
  <c r="S78" i="58553" s="1"/>
  <c r="K81" i="58553"/>
  <c r="S62" i="58553" s="1"/>
  <c r="K156" i="58553"/>
  <c r="S137" i="58553" s="1"/>
  <c r="K150" i="58553"/>
  <c r="S131" i="58553" s="1"/>
  <c r="K116" i="58553"/>
  <c r="S97" i="58553" s="1"/>
  <c r="K88" i="58553"/>
  <c r="S69" i="58553" s="1"/>
  <c r="K89" i="58553"/>
  <c r="S70" i="58553" s="1"/>
  <c r="K99" i="58553"/>
  <c r="S80" i="58553" s="1"/>
  <c r="K129" i="58553"/>
  <c r="S110" i="58553" s="1"/>
  <c r="K102" i="58553"/>
  <c r="S83" i="58553" s="1"/>
  <c r="K134" i="58553"/>
  <c r="S115" i="58553" s="1"/>
  <c r="K131" i="58553"/>
  <c r="S112" i="58553" s="1"/>
  <c r="K136" i="58553"/>
  <c r="S117" i="58553" s="1"/>
  <c r="K91" i="58553"/>
  <c r="S72" i="58553" s="1"/>
  <c r="K92" i="58553"/>
  <c r="S73" i="58553" s="1"/>
  <c r="K82" i="58553"/>
  <c r="S63" i="58553" s="1"/>
  <c r="K35" i="58553"/>
  <c r="S35" i="58553" s="1"/>
  <c r="K111" i="58553"/>
  <c r="S92" i="58553" s="1"/>
  <c r="K93" i="58553"/>
  <c r="S74" i="58553" s="1"/>
  <c r="K104" i="58553"/>
  <c r="S85" i="58553" s="1"/>
  <c r="K83" i="58553"/>
  <c r="S64" i="58553" s="1"/>
  <c r="K95" i="58553"/>
  <c r="S76" i="58553" s="1"/>
  <c r="K115" i="58553"/>
  <c r="S96" i="58553" s="1"/>
  <c r="K109" i="58553"/>
  <c r="S90" i="58553" s="1"/>
  <c r="K132" i="58553"/>
  <c r="S113" i="58553" s="1"/>
  <c r="K113" i="58553"/>
  <c r="S94" i="58553" s="1"/>
  <c r="K151" i="58553"/>
  <c r="S132" i="58553" s="1"/>
  <c r="K137" i="58553"/>
  <c r="S118" i="58553" s="1"/>
  <c r="G169" i="58537"/>
  <c r="G170" i="58537" s="1"/>
  <c r="G163" i="58537"/>
  <c r="K124" i="58553"/>
  <c r="S105" i="58553" s="1"/>
  <c r="K138" i="58553"/>
  <c r="S119" i="58553" s="1"/>
  <c r="K128" i="58553"/>
  <c r="S109" i="58553" s="1"/>
  <c r="G104" i="58537"/>
  <c r="G105" i="58537"/>
  <c r="G106" i="58537"/>
  <c r="G103" i="58537"/>
  <c r="H94" i="58537"/>
  <c r="H84" i="58550"/>
  <c r="K83" i="58550"/>
  <c r="S64" i="58550" s="1"/>
  <c r="BC81" i="58538"/>
  <c r="BC82" i="58538" s="1"/>
  <c r="K141" i="58553"/>
  <c r="S122" i="58553" s="1"/>
  <c r="K146" i="58553"/>
  <c r="S127" i="58553" s="1"/>
  <c r="E147" i="58540"/>
  <c r="G146" i="58540"/>
  <c r="K127" i="58553"/>
  <c r="S108" i="58553" s="1"/>
  <c r="E146" i="58537"/>
  <c r="G145" i="58537"/>
  <c r="K101" i="58553"/>
  <c r="S82" i="58553" s="1"/>
  <c r="K148" i="58553"/>
  <c r="S129" i="58553" s="1"/>
  <c r="K252" i="58553"/>
  <c r="K237" i="58553"/>
  <c r="F199" i="58553"/>
  <c r="J199" i="58553" s="1"/>
  <c r="F200" i="58553"/>
  <c r="J200" i="58553" s="1"/>
  <c r="K247" i="58553" s="1"/>
  <c r="F198" i="58553"/>
  <c r="J198" i="58553" s="1"/>
  <c r="K106" i="58553"/>
  <c r="S87" i="58553" s="1"/>
  <c r="BC60" i="58538"/>
  <c r="BC61" i="58538" s="1"/>
  <c r="K122" i="58553"/>
  <c r="S103" i="58553" s="1"/>
  <c r="G194" i="58536"/>
  <c r="D35" i="58536"/>
  <c r="K133" i="58553"/>
  <c r="S114" i="58553" s="1"/>
  <c r="D12" i="58544"/>
  <c r="E89" i="58544" s="1"/>
  <c r="E90" i="58544" s="1"/>
  <c r="G147" i="58544"/>
  <c r="E148" i="58544"/>
  <c r="E149" i="58544"/>
  <c r="K216" i="58553" l="1"/>
  <c r="K244" i="58553"/>
  <c r="K207" i="58553"/>
  <c r="G147" i="58536"/>
  <c r="E148" i="58536"/>
  <c r="E149" i="58536"/>
  <c r="D12" i="58536"/>
  <c r="E89" i="58536" s="1"/>
  <c r="E90" i="58536" s="1"/>
  <c r="E147" i="58545"/>
  <c r="D12" i="58545"/>
  <c r="E89" i="58545" s="1"/>
  <c r="E90" i="58545" s="1"/>
  <c r="E148" i="58545"/>
  <c r="G146" i="58545"/>
  <c r="H83" i="58541"/>
  <c r="K238" i="58553"/>
  <c r="F74" i="58541"/>
  <c r="J74" i="58541" s="1"/>
  <c r="F75" i="58541"/>
  <c r="J75" i="58541" s="1"/>
  <c r="F76" i="58541"/>
  <c r="J76" i="58541" s="1"/>
  <c r="K82" i="58541" s="1"/>
  <c r="S63" i="58541" s="1"/>
  <c r="P36" i="58541"/>
  <c r="H37" i="58541"/>
  <c r="I36" i="58541"/>
  <c r="K222" i="58553"/>
  <c r="E158" i="58544"/>
  <c r="E188" i="58544"/>
  <c r="E284" i="58544"/>
  <c r="G284" i="58544" s="1"/>
  <c r="D13" i="58544"/>
  <c r="D89" i="58544" s="1"/>
  <c r="G148" i="58544"/>
  <c r="E168" i="58544"/>
  <c r="E148" i="58537"/>
  <c r="D12" i="58537"/>
  <c r="E89" i="58537" s="1"/>
  <c r="E90" i="58537" s="1"/>
  <c r="E147" i="58537"/>
  <c r="G146" i="58537"/>
  <c r="H85" i="58550"/>
  <c r="K84" i="58550"/>
  <c r="S65" i="58550" s="1"/>
  <c r="K236" i="58553"/>
  <c r="Q36" i="58550"/>
  <c r="J36" i="58550"/>
  <c r="R36" i="58550" s="1"/>
  <c r="K232" i="58553"/>
  <c r="D15" i="58544"/>
  <c r="E150" i="58544"/>
  <c r="E193" i="58544"/>
  <c r="D81" i="58544" s="1"/>
  <c r="D82" i="58544" s="1"/>
  <c r="G149" i="58544"/>
  <c r="G186" i="58544"/>
  <c r="H201" i="58550"/>
  <c r="K241" i="58550"/>
  <c r="K221" i="58550"/>
  <c r="K231" i="58550"/>
  <c r="K242" i="58550"/>
  <c r="K229" i="58550"/>
  <c r="K252" i="58550"/>
  <c r="K223" i="58550"/>
  <c r="K214" i="58550"/>
  <c r="K253" i="58550"/>
  <c r="K210" i="58550"/>
  <c r="K236" i="58550"/>
  <c r="K243" i="58550"/>
  <c r="K249" i="58550"/>
  <c r="K218" i="58550"/>
  <c r="K224" i="58550"/>
  <c r="K246" i="58550"/>
  <c r="K226" i="58550"/>
  <c r="K209" i="58550"/>
  <c r="K216" i="58550"/>
  <c r="K238" i="58550"/>
  <c r="K215" i="58550"/>
  <c r="K251" i="58550"/>
  <c r="K234" i="58550"/>
  <c r="K213" i="58550"/>
  <c r="K206" i="58550"/>
  <c r="K240" i="58550"/>
  <c r="K207" i="58550"/>
  <c r="K219" i="58550"/>
  <c r="K247" i="58550"/>
  <c r="K250" i="58550"/>
  <c r="K235" i="58550"/>
  <c r="K222" i="58550"/>
  <c r="K245" i="58550"/>
  <c r="K217" i="58550"/>
  <c r="K230" i="58550"/>
  <c r="K211" i="58550"/>
  <c r="K227" i="58550"/>
  <c r="K232" i="58550"/>
  <c r="K212" i="58550"/>
  <c r="K254" i="58550"/>
  <c r="K228" i="58550"/>
  <c r="K237" i="58550"/>
  <c r="K225" i="58550"/>
  <c r="K233" i="58550"/>
  <c r="K248" i="58550"/>
  <c r="K244" i="58550"/>
  <c r="K220" i="58550"/>
  <c r="K239" i="58550"/>
  <c r="K208" i="58550"/>
  <c r="K205" i="58550"/>
  <c r="S150" i="58550" s="1"/>
  <c r="E149" i="58540"/>
  <c r="D12" i="58540"/>
  <c r="E89" i="58540" s="1"/>
  <c r="E90" i="58540" s="1"/>
  <c r="E148" i="58540"/>
  <c r="G147" i="58540"/>
  <c r="G110" i="58537"/>
  <c r="K245" i="58553"/>
  <c r="P37" i="58550"/>
  <c r="H38" i="58550"/>
  <c r="I37" i="58550"/>
  <c r="K254" i="58553"/>
  <c r="Q36" i="58553"/>
  <c r="J36" i="58553"/>
  <c r="R36" i="58553" s="1"/>
  <c r="H201" i="58553"/>
  <c r="K229" i="58553"/>
  <c r="K234" i="58553"/>
  <c r="K208" i="58553"/>
  <c r="K219" i="58553"/>
  <c r="K230" i="58553"/>
  <c r="K223" i="58553"/>
  <c r="K214" i="58553"/>
  <c r="K241" i="58553"/>
  <c r="K233" i="58553"/>
  <c r="K253" i="58553"/>
  <c r="K240" i="58553"/>
  <c r="K215" i="58553"/>
  <c r="K213" i="58553"/>
  <c r="K249" i="58553"/>
  <c r="K220" i="58553"/>
  <c r="K250" i="58553"/>
  <c r="K217" i="58553"/>
  <c r="K226" i="58553"/>
  <c r="K225" i="58553"/>
  <c r="K248" i="58553"/>
  <c r="K242" i="58553"/>
  <c r="K212" i="58553"/>
  <c r="K218" i="58553"/>
  <c r="K246" i="58553"/>
  <c r="K231" i="58553"/>
  <c r="K209" i="58553"/>
  <c r="K243" i="58553"/>
  <c r="K228" i="58553"/>
  <c r="K251" i="58553"/>
  <c r="K205" i="58553"/>
  <c r="S150" i="58553" s="1"/>
  <c r="K206" i="58553"/>
  <c r="K224" i="58553"/>
  <c r="K221" i="58553"/>
  <c r="K239" i="58553"/>
  <c r="K211" i="58553"/>
  <c r="K210" i="58553"/>
  <c r="K235" i="58553"/>
  <c r="H38" i="58553"/>
  <c r="P37" i="58553"/>
  <c r="I37" i="58553"/>
  <c r="K227" i="58553"/>
  <c r="E187" i="58545" l="1"/>
  <c r="E283" i="58545"/>
  <c r="G283" i="58545" s="1"/>
  <c r="D13" i="58545"/>
  <c r="D89" i="58545" s="1"/>
  <c r="E157" i="58545"/>
  <c r="G147" i="58545"/>
  <c r="E167" i="58545"/>
  <c r="E193" i="58536"/>
  <c r="D81" i="58536" s="1"/>
  <c r="D82" i="58536" s="1"/>
  <c r="D15" i="58536"/>
  <c r="E150" i="58536"/>
  <c r="D13" i="58536"/>
  <c r="D89" i="58536" s="1"/>
  <c r="E158" i="58536"/>
  <c r="E188" i="58536"/>
  <c r="E268" i="58536" s="1"/>
  <c r="G268" i="58536" s="1"/>
  <c r="G148" i="58536"/>
  <c r="E284" i="58536"/>
  <c r="G284" i="58536" s="1"/>
  <c r="E168" i="58536"/>
  <c r="Q36" i="58541"/>
  <c r="J36" i="58541"/>
  <c r="R36" i="58541" s="1"/>
  <c r="H84" i="58541"/>
  <c r="K83" i="58541"/>
  <c r="S64" i="58541" s="1"/>
  <c r="G149" i="58536"/>
  <c r="G186" i="58536"/>
  <c r="P37" i="58541"/>
  <c r="H38" i="58541"/>
  <c r="I37" i="58541"/>
  <c r="G185" i="58545"/>
  <c r="G148" i="58545"/>
  <c r="E149" i="58545"/>
  <c r="D15" i="58545"/>
  <c r="E192" i="58545"/>
  <c r="D81" i="58545" s="1"/>
  <c r="D82" i="58545" s="1"/>
  <c r="K35" i="58541"/>
  <c r="S35" i="58541" s="1"/>
  <c r="H77" i="58541"/>
  <c r="K81" i="58541"/>
  <c r="S62" i="58541" s="1"/>
  <c r="G150" i="58544"/>
  <c r="G193" i="58544"/>
  <c r="G185" i="58537"/>
  <c r="G148" i="58537"/>
  <c r="E268" i="58544"/>
  <c r="G268" i="58544" s="1"/>
  <c r="F21" i="58544"/>
  <c r="E176" i="58544"/>
  <c r="E178" i="58544" s="1"/>
  <c r="C176" i="58544"/>
  <c r="O210" i="58544"/>
  <c r="E223" i="58544"/>
  <c r="E231" i="58544" s="1"/>
  <c r="E210" i="58544"/>
  <c r="G188" i="58544"/>
  <c r="G158" i="58544"/>
  <c r="G215" i="58544" s="1"/>
  <c r="G168" i="58544"/>
  <c r="H39" i="58553"/>
  <c r="P38" i="58553"/>
  <c r="I38" i="58553"/>
  <c r="Q37" i="58550"/>
  <c r="J37" i="58550"/>
  <c r="R37" i="58550" s="1"/>
  <c r="H206" i="58544"/>
  <c r="D16" i="58544"/>
  <c r="E207" i="58544"/>
  <c r="E206" i="58544"/>
  <c r="E221" i="58544"/>
  <c r="H69" i="58544" s="1"/>
  <c r="E209" i="58544"/>
  <c r="G147" i="58537"/>
  <c r="E283" i="58537"/>
  <c r="G283" i="58537" s="1"/>
  <c r="E157" i="58537"/>
  <c r="E187" i="58537"/>
  <c r="D13" i="58537"/>
  <c r="D89" i="58537" s="1"/>
  <c r="E167" i="58537"/>
  <c r="D14" i="58544"/>
  <c r="E215" i="58544"/>
  <c r="E233" i="58544" s="1"/>
  <c r="I149" i="58540"/>
  <c r="D15" i="58540"/>
  <c r="E193" i="58540"/>
  <c r="D81" i="58540" s="1"/>
  <c r="D82" i="58540" s="1"/>
  <c r="E150" i="58540"/>
  <c r="Q37" i="58553"/>
  <c r="T37" i="58553" s="1"/>
  <c r="J37" i="58553"/>
  <c r="R37" i="58553" s="1"/>
  <c r="P38" i="58550"/>
  <c r="H39" i="58550"/>
  <c r="I38" i="58550"/>
  <c r="G186" i="58540"/>
  <c r="G149" i="58540"/>
  <c r="T36" i="58550"/>
  <c r="T37" i="58550"/>
  <c r="T36" i="58553"/>
  <c r="D90" i="58544"/>
  <c r="F89" i="58544"/>
  <c r="F90" i="58544" s="1"/>
  <c r="H86" i="58550"/>
  <c r="K85" i="58550"/>
  <c r="S66" i="58550" s="1"/>
  <c r="D13" i="58540"/>
  <c r="D89" i="58540" s="1"/>
  <c r="E158" i="58540"/>
  <c r="E188" i="58540"/>
  <c r="E284" i="58540"/>
  <c r="G284" i="58540" s="1"/>
  <c r="E168" i="58540"/>
  <c r="G148" i="58540"/>
  <c r="E192" i="58537"/>
  <c r="D81" i="58537" s="1"/>
  <c r="D82" i="58537" s="1"/>
  <c r="D15" i="58537"/>
  <c r="E149" i="58537"/>
  <c r="Q37" i="58541" l="1"/>
  <c r="J37" i="58541"/>
  <c r="R37" i="58541" s="1"/>
  <c r="T36" i="58541"/>
  <c r="T37" i="58541"/>
  <c r="P38" i="58541"/>
  <c r="I38" i="58541"/>
  <c r="H39" i="58541"/>
  <c r="F21" i="58536"/>
  <c r="E223" i="58536"/>
  <c r="E231" i="58536" s="1"/>
  <c r="C176" i="58536"/>
  <c r="E176" i="58536"/>
  <c r="E178" i="58536" s="1"/>
  <c r="E210" i="58536"/>
  <c r="O210" i="58536"/>
  <c r="F21" i="58545"/>
  <c r="O209" i="58545"/>
  <c r="C175" i="58545"/>
  <c r="E175" i="58545"/>
  <c r="E177" i="58545" s="1"/>
  <c r="E222" i="58545"/>
  <c r="E230" i="58545" s="1"/>
  <c r="E209" i="58545"/>
  <c r="G158" i="58536"/>
  <c r="G215" i="58536" s="1"/>
  <c r="G188" i="58536"/>
  <c r="G168" i="58536"/>
  <c r="G157" i="58545"/>
  <c r="G214" i="58545" s="1"/>
  <c r="G187" i="58545"/>
  <c r="G167" i="58545"/>
  <c r="G150" i="58536"/>
  <c r="G193" i="58536"/>
  <c r="D14" i="58545"/>
  <c r="E214" i="58545"/>
  <c r="D232" i="58545" s="1"/>
  <c r="E220" i="58545"/>
  <c r="H69" i="58545" s="1"/>
  <c r="E205" i="58545"/>
  <c r="E206" i="58545"/>
  <c r="H205" i="58545"/>
  <c r="D16" i="58545"/>
  <c r="E208" i="58545"/>
  <c r="D14" i="58536"/>
  <c r="E215" i="58536"/>
  <c r="E233" i="58536" s="1"/>
  <c r="D90" i="58545"/>
  <c r="F89" i="58545"/>
  <c r="F90" i="58545" s="1"/>
  <c r="G149" i="58545"/>
  <c r="G192" i="58545"/>
  <c r="H85" i="58541"/>
  <c r="K84" i="58541"/>
  <c r="S65" i="58541" s="1"/>
  <c r="F89" i="58536"/>
  <c r="F90" i="58536" s="1"/>
  <c r="D90" i="58536"/>
  <c r="D16" i="58536"/>
  <c r="E206" i="58536"/>
  <c r="E209" i="58536"/>
  <c r="E207" i="58536"/>
  <c r="H206" i="58536"/>
  <c r="E221" i="58536"/>
  <c r="H69" i="58536" s="1"/>
  <c r="E267" i="58545"/>
  <c r="G267" i="58545" s="1"/>
  <c r="E268" i="58545"/>
  <c r="G268" i="58545" s="1"/>
  <c r="E267" i="58537"/>
  <c r="G267" i="58537" s="1"/>
  <c r="E268" i="58537"/>
  <c r="G268" i="58537" s="1"/>
  <c r="Q38" i="58553"/>
  <c r="T38" i="58553" s="1"/>
  <c r="J38" i="58553"/>
  <c r="R38" i="58553" s="1"/>
  <c r="G233" i="58544"/>
  <c r="E262" i="58544"/>
  <c r="G262" i="58544" s="1"/>
  <c r="E241" i="58544"/>
  <c r="H47" i="58544"/>
  <c r="D97" i="58544" s="1"/>
  <c r="D98" i="58544" s="1"/>
  <c r="E235" i="58544"/>
  <c r="O211" i="58544"/>
  <c r="E211" i="58544"/>
  <c r="F89" i="58540"/>
  <c r="F90" i="58540" s="1"/>
  <c r="D90" i="58540"/>
  <c r="H206" i="58540"/>
  <c r="E207" i="58540"/>
  <c r="E221" i="58540"/>
  <c r="H69" i="58540" s="1"/>
  <c r="D16" i="58540"/>
  <c r="E206" i="58540"/>
  <c r="E209" i="58540"/>
  <c r="G149" i="58537"/>
  <c r="G192" i="58537"/>
  <c r="Q38" i="58550"/>
  <c r="J38" i="58550"/>
  <c r="R38" i="58550" s="1"/>
  <c r="H40" i="58553"/>
  <c r="P39" i="58553"/>
  <c r="I39" i="58553"/>
  <c r="D16" i="58537"/>
  <c r="E206" i="58537"/>
  <c r="E220" i="58537"/>
  <c r="H69" i="58537" s="1"/>
  <c r="H205" i="58537"/>
  <c r="E205" i="58537"/>
  <c r="E208" i="58537"/>
  <c r="E268" i="58540"/>
  <c r="G268" i="58540" s="1"/>
  <c r="G150" i="58540"/>
  <c r="G193" i="58540"/>
  <c r="E222" i="58537"/>
  <c r="E230" i="58537" s="1"/>
  <c r="E175" i="58537"/>
  <c r="E177" i="58537" s="1"/>
  <c r="O209" i="58537"/>
  <c r="F21" i="58537"/>
  <c r="C175" i="58537"/>
  <c r="E209" i="58537"/>
  <c r="T38" i="58550"/>
  <c r="E285" i="58544"/>
  <c r="G285" i="58544" s="1"/>
  <c r="G286" i="58544"/>
  <c r="E269" i="58544"/>
  <c r="G269" i="58544" s="1"/>
  <c r="H87" i="58550"/>
  <c r="K86" i="58550"/>
  <c r="S67" i="58550" s="1"/>
  <c r="D14" i="58537"/>
  <c r="E214" i="58537"/>
  <c r="D232" i="58537" s="1"/>
  <c r="H40" i="58550"/>
  <c r="P39" i="58550"/>
  <c r="I39" i="58550"/>
  <c r="G188" i="58540"/>
  <c r="G158" i="58540"/>
  <c r="G215" i="58540" s="1"/>
  <c r="G168" i="58540"/>
  <c r="G157" i="58537"/>
  <c r="G214" i="58537" s="1"/>
  <c r="G187" i="58537"/>
  <c r="G167" i="58537"/>
  <c r="D41" i="58544"/>
  <c r="M241" i="58544"/>
  <c r="E176" i="58540"/>
  <c r="E178" i="58540" s="1"/>
  <c r="F21" i="58540"/>
  <c r="C176" i="58540"/>
  <c r="E223" i="58540"/>
  <c r="E231" i="58540" s="1"/>
  <c r="O210" i="58540"/>
  <c r="E210" i="58540"/>
  <c r="D14" i="58540"/>
  <c r="E215" i="58540"/>
  <c r="E233" i="58540" s="1"/>
  <c r="E269" i="58540" s="1"/>
  <c r="G269" i="58540" s="1"/>
  <c r="D90" i="58537"/>
  <c r="F89" i="58537"/>
  <c r="F90" i="58537" s="1"/>
  <c r="G176" i="58544"/>
  <c r="G178" i="58544" s="1"/>
  <c r="G223" i="58544"/>
  <c r="G210" i="58544"/>
  <c r="G221" i="58544"/>
  <c r="G209" i="58544"/>
  <c r="G211" i="58544" s="1"/>
  <c r="O211" i="58536" l="1"/>
  <c r="E211" i="58536"/>
  <c r="G220" i="58545"/>
  <c r="G208" i="58545"/>
  <c r="G210" i="58545" s="1"/>
  <c r="P39" i="58541"/>
  <c r="H40" i="58541"/>
  <c r="I39" i="58541"/>
  <c r="G223" i="58536"/>
  <c r="G176" i="58536"/>
  <c r="G178" i="58536" s="1"/>
  <c r="G210" i="58536"/>
  <c r="Q38" i="58541"/>
  <c r="J38" i="58541"/>
  <c r="R38" i="58541" s="1"/>
  <c r="E262" i="58536"/>
  <c r="G262" i="58536" s="1"/>
  <c r="E235" i="58536"/>
  <c r="E269" i="58536"/>
  <c r="G269" i="58536" s="1"/>
  <c r="H47" i="58536"/>
  <c r="D97" i="58536" s="1"/>
  <c r="D98" i="58536" s="1"/>
  <c r="E241" i="58536"/>
  <c r="H42" i="58536" s="1"/>
  <c r="G233" i="58536"/>
  <c r="O210" i="58545"/>
  <c r="E210" i="58545"/>
  <c r="E285" i="58536"/>
  <c r="G285" i="58536" s="1"/>
  <c r="G286" i="58536"/>
  <c r="H86" i="58541"/>
  <c r="K85" i="58541"/>
  <c r="S66" i="58541" s="1"/>
  <c r="G221" i="58536"/>
  <c r="G209" i="58536"/>
  <c r="G211" i="58536" s="1"/>
  <c r="E245" i="58545"/>
  <c r="D41" i="58545"/>
  <c r="M240" i="58545"/>
  <c r="G222" i="58545"/>
  <c r="G209" i="58545"/>
  <c r="G175" i="58545"/>
  <c r="G177" i="58545" s="1"/>
  <c r="G285" i="58545"/>
  <c r="E284" i="58545"/>
  <c r="G284" i="58545" s="1"/>
  <c r="M241" i="58536"/>
  <c r="D41" i="58536"/>
  <c r="T38" i="58541"/>
  <c r="H48" i="58544"/>
  <c r="G235" i="58544"/>
  <c r="E242" i="58544"/>
  <c r="G176" i="58540"/>
  <c r="G178" i="58540" s="1"/>
  <c r="G223" i="58540"/>
  <c r="G210" i="58540"/>
  <c r="M240" i="58537"/>
  <c r="E245" i="58537"/>
  <c r="D41" i="58537"/>
  <c r="H42" i="58544"/>
  <c r="E285" i="58540"/>
  <c r="G285" i="58540" s="1"/>
  <c r="G286" i="58540"/>
  <c r="O210" i="58537"/>
  <c r="E210" i="58537"/>
  <c r="G175" i="58537"/>
  <c r="G177" i="58537" s="1"/>
  <c r="G222" i="58537"/>
  <c r="G209" i="58537"/>
  <c r="H41" i="58550"/>
  <c r="P40" i="58550"/>
  <c r="I40" i="58550"/>
  <c r="G220" i="58537"/>
  <c r="G208" i="58537"/>
  <c r="G210" i="58537" s="1"/>
  <c r="M241" i="58540"/>
  <c r="D41" i="58540"/>
  <c r="O211" i="58540"/>
  <c r="E211" i="58540"/>
  <c r="G221" i="58540"/>
  <c r="G209" i="58540"/>
  <c r="G211" i="58540" s="1"/>
  <c r="J39" i="58550"/>
  <c r="R39" i="58550" s="1"/>
  <c r="Q39" i="58550"/>
  <c r="T39" i="58550" s="1"/>
  <c r="H41" i="58553"/>
  <c r="P40" i="58553"/>
  <c r="I40" i="58553"/>
  <c r="G285" i="58537"/>
  <c r="E284" i="58537"/>
  <c r="G284" i="58537" s="1"/>
  <c r="H47" i="58540"/>
  <c r="D97" i="58540" s="1"/>
  <c r="D98" i="58540" s="1"/>
  <c r="E235" i="58540"/>
  <c r="G233" i="58540"/>
  <c r="E262" i="58540"/>
  <c r="G262" i="58540" s="1"/>
  <c r="E241" i="58540"/>
  <c r="J97" i="58544"/>
  <c r="K76" i="58544"/>
  <c r="H56" i="58544"/>
  <c r="G112" i="58544"/>
  <c r="H88" i="58550"/>
  <c r="M199" i="58550"/>
  <c r="K87" i="58550"/>
  <c r="S68" i="58550" s="1"/>
  <c r="Q39" i="58553"/>
  <c r="T39" i="58553" s="1"/>
  <c r="J39" i="58553"/>
  <c r="R39" i="58553" s="1"/>
  <c r="H87" i="58541" l="1"/>
  <c r="K86" i="58541"/>
  <c r="S67" i="58541" s="1"/>
  <c r="J39" i="58541"/>
  <c r="R39" i="58541" s="1"/>
  <c r="Q39" i="58541"/>
  <c r="T39" i="58541" s="1"/>
  <c r="G235" i="58536"/>
  <c r="H48" i="58536"/>
  <c r="E242" i="58536"/>
  <c r="P40" i="58541"/>
  <c r="H41" i="58541"/>
  <c r="I40" i="58541"/>
  <c r="K76" i="58536"/>
  <c r="H56" i="58536"/>
  <c r="J97" i="58536"/>
  <c r="G112" i="58536"/>
  <c r="K76" i="58545"/>
  <c r="J97" i="58545"/>
  <c r="H56" i="58545"/>
  <c r="G112" i="58545"/>
  <c r="E239" i="58545"/>
  <c r="D46" i="58545" s="1"/>
  <c r="M243" i="58545"/>
  <c r="E247" i="58545"/>
  <c r="H50" i="58545" s="1"/>
  <c r="H41" i="58545"/>
  <c r="D47" i="58545" s="1"/>
  <c r="E246" i="58545"/>
  <c r="E243" i="58545"/>
  <c r="H45" i="58545" s="1"/>
  <c r="P41" i="58550"/>
  <c r="H42" i="58550"/>
  <c r="I41" i="58550"/>
  <c r="E242" i="58540"/>
  <c r="H48" i="58540"/>
  <c r="G235" i="58540"/>
  <c r="H42" i="58553"/>
  <c r="P41" i="58553"/>
  <c r="I41" i="58553"/>
  <c r="J97" i="58537"/>
  <c r="K76" i="58537"/>
  <c r="H56" i="58537"/>
  <c r="G111" i="58537"/>
  <c r="H89" i="58550"/>
  <c r="K88" i="58550"/>
  <c r="S69" i="58550" s="1"/>
  <c r="G114" i="58544"/>
  <c r="G113" i="58544"/>
  <c r="G115" i="58544"/>
  <c r="G116" i="58544" s="1"/>
  <c r="H41" i="58537"/>
  <c r="D47" i="58537" s="1"/>
  <c r="E246" i="58537"/>
  <c r="E239" i="58537"/>
  <c r="D46" i="58537" s="1"/>
  <c r="M243" i="58537"/>
  <c r="E247" i="58537"/>
  <c r="H50" i="58537" s="1"/>
  <c r="E243" i="58537"/>
  <c r="H45" i="58537" s="1"/>
  <c r="M243" i="58544"/>
  <c r="H43" i="58544"/>
  <c r="E246" i="58544"/>
  <c r="J97" i="58540"/>
  <c r="K76" i="58540"/>
  <c r="H56" i="58540"/>
  <c r="G112" i="58540"/>
  <c r="Q40" i="58553"/>
  <c r="T40" i="58553" s="1"/>
  <c r="J40" i="58553"/>
  <c r="R40" i="58553" s="1"/>
  <c r="H42" i="58540"/>
  <c r="Q40" i="58550"/>
  <c r="T40" i="58550" s="1"/>
  <c r="J40" i="58550"/>
  <c r="R40" i="58550" s="1"/>
  <c r="E249" i="58545" l="1"/>
  <c r="M241" i="58545"/>
  <c r="M244" i="58545" s="1"/>
  <c r="E256" i="58545"/>
  <c r="G256" i="58545" s="1"/>
  <c r="D50" i="58545"/>
  <c r="H43" i="58536"/>
  <c r="M243" i="58536"/>
  <c r="E246" i="58536"/>
  <c r="G113" i="58536"/>
  <c r="G114" i="58536"/>
  <c r="G115" i="58536"/>
  <c r="G113" i="58545"/>
  <c r="G114" i="58545"/>
  <c r="G115" i="58545"/>
  <c r="Q40" i="58541"/>
  <c r="J40" i="58541"/>
  <c r="R40" i="58541" s="1"/>
  <c r="I41" i="58541"/>
  <c r="H42" i="58541"/>
  <c r="P41" i="58541"/>
  <c r="M199" i="58541"/>
  <c r="H88" i="58541"/>
  <c r="K87" i="58541"/>
  <c r="S68" i="58541" s="1"/>
  <c r="E256" i="58537"/>
  <c r="G256" i="58537" s="1"/>
  <c r="D50" i="58537"/>
  <c r="E249" i="58537"/>
  <c r="M241" i="58537"/>
  <c r="M244" i="58537" s="1"/>
  <c r="E247" i="58544"/>
  <c r="E240" i="58544"/>
  <c r="D46" i="58544" s="1"/>
  <c r="H41" i="58544"/>
  <c r="D47" i="58544" s="1"/>
  <c r="M244" i="58544"/>
  <c r="E248" i="58544"/>
  <c r="H50" i="58544" s="1"/>
  <c r="E244" i="58544"/>
  <c r="H45" i="58544" s="1"/>
  <c r="Q41" i="58553"/>
  <c r="J41" i="58553"/>
  <c r="R41" i="58553" s="1"/>
  <c r="Q41" i="58550"/>
  <c r="J41" i="58550"/>
  <c r="R41" i="58550" s="1"/>
  <c r="G113" i="58540"/>
  <c r="G114" i="58540"/>
  <c r="G115" i="58540"/>
  <c r="M243" i="58540"/>
  <c r="H43" i="58540"/>
  <c r="E246" i="58540"/>
  <c r="H90" i="58550"/>
  <c r="K89" i="58550"/>
  <c r="S70" i="58550" s="1"/>
  <c r="P42" i="58550"/>
  <c r="H43" i="58550"/>
  <c r="I42" i="58550"/>
  <c r="T41" i="58550"/>
  <c r="G112" i="58537"/>
  <c r="G113" i="58537"/>
  <c r="G114" i="58537"/>
  <c r="G115" i="58537" s="1"/>
  <c r="H43" i="58553"/>
  <c r="P42" i="58553"/>
  <c r="I42" i="58553"/>
  <c r="Q41" i="58541" l="1"/>
  <c r="J41" i="58541"/>
  <c r="R41" i="58541" s="1"/>
  <c r="E240" i="58536"/>
  <c r="D46" i="58536" s="1"/>
  <c r="H41" i="58536"/>
  <c r="D47" i="58536" s="1"/>
  <c r="M244" i="58536"/>
  <c r="E248" i="58536"/>
  <c r="H50" i="58536" s="1"/>
  <c r="E247" i="58536"/>
  <c r="E244" i="58536"/>
  <c r="H45" i="58536" s="1"/>
  <c r="T40" i="58541"/>
  <c r="T41" i="58541"/>
  <c r="G116" i="58545"/>
  <c r="H89" i="58541"/>
  <c r="K88" i="58541"/>
  <c r="S69" i="58541" s="1"/>
  <c r="D48" i="58545"/>
  <c r="H55" i="58545"/>
  <c r="E97" i="58545"/>
  <c r="G116" i="58536"/>
  <c r="H77" i="58545"/>
  <c r="M246" i="58545"/>
  <c r="H79" i="58545" s="1"/>
  <c r="H43" i="58541"/>
  <c r="I42" i="58541"/>
  <c r="P42" i="58541"/>
  <c r="E250" i="58545"/>
  <c r="D55" i="58545"/>
  <c r="E250" i="58537"/>
  <c r="D55" i="58537"/>
  <c r="H91" i="58550"/>
  <c r="K90" i="58550"/>
  <c r="S71" i="58550" s="1"/>
  <c r="E97" i="58537"/>
  <c r="D48" i="58537"/>
  <c r="H55" i="58537"/>
  <c r="E240" i="58540"/>
  <c r="D46" i="58540" s="1"/>
  <c r="M244" i="58540"/>
  <c r="H41" i="58540"/>
  <c r="D47" i="58540" s="1"/>
  <c r="E247" i="58540"/>
  <c r="E248" i="58540"/>
  <c r="H50" i="58540" s="1"/>
  <c r="E244" i="58540"/>
  <c r="H45" i="58540" s="1"/>
  <c r="T41" i="58553"/>
  <c r="G116" i="58540"/>
  <c r="M246" i="58537"/>
  <c r="H79" i="58537" s="1"/>
  <c r="H77" i="58537"/>
  <c r="Q42" i="58553"/>
  <c r="T42" i="58553" s="1"/>
  <c r="J42" i="58553"/>
  <c r="R42" i="58553" s="1"/>
  <c r="Q42" i="58550"/>
  <c r="T42" i="58550" s="1"/>
  <c r="J42" i="58550"/>
  <c r="R42" i="58550" s="1"/>
  <c r="P43" i="58550"/>
  <c r="H44" i="58550"/>
  <c r="I43" i="58550"/>
  <c r="H44" i="58553"/>
  <c r="P43" i="58553"/>
  <c r="I43" i="58553"/>
  <c r="D50" i="58544"/>
  <c r="M242" i="58544"/>
  <c r="M245" i="58544" s="1"/>
  <c r="E250" i="58544"/>
  <c r="E257" i="58544"/>
  <c r="G257" i="58544" s="1"/>
  <c r="E98" i="58545" l="1"/>
  <c r="H99" i="58545"/>
  <c r="M247" i="58545"/>
  <c r="D56" i="58545"/>
  <c r="E251" i="58545"/>
  <c r="D57" i="58545" s="1"/>
  <c r="G107" i="58545"/>
  <c r="G108" i="58545" s="1"/>
  <c r="H57" i="58545"/>
  <c r="H98" i="58545"/>
  <c r="E250" i="58536"/>
  <c r="M242" i="58536"/>
  <c r="M245" i="58536" s="1"/>
  <c r="E257" i="58536"/>
  <c r="G257" i="58536" s="1"/>
  <c r="D50" i="58536"/>
  <c r="Q42" i="58541"/>
  <c r="J42" i="58541"/>
  <c r="R42" i="58541" s="1"/>
  <c r="H44" i="58541"/>
  <c r="I43" i="58541"/>
  <c r="P43" i="58541"/>
  <c r="H90" i="58541"/>
  <c r="K89" i="58541"/>
  <c r="S70" i="58541" s="1"/>
  <c r="E251" i="58544"/>
  <c r="D55" i="58544"/>
  <c r="H45" i="58553"/>
  <c r="P44" i="58553"/>
  <c r="I44" i="58553"/>
  <c r="H92" i="58550"/>
  <c r="K91" i="58550"/>
  <c r="S72" i="58550" s="1"/>
  <c r="H77" i="58544"/>
  <c r="M247" i="58544"/>
  <c r="H79" i="58544" s="1"/>
  <c r="P44" i="58550"/>
  <c r="H45" i="58550"/>
  <c r="I44" i="58550"/>
  <c r="E251" i="58537"/>
  <c r="D57" i="58537" s="1"/>
  <c r="M247" i="58537"/>
  <c r="D56" i="58537"/>
  <c r="D48" i="58544"/>
  <c r="E97" i="58544"/>
  <c r="H55" i="58544"/>
  <c r="Q43" i="58553"/>
  <c r="J43" i="58553"/>
  <c r="R43" i="58553" s="1"/>
  <c r="T43" i="58550"/>
  <c r="T43" i="58553"/>
  <c r="C108" i="58537"/>
  <c r="G107" i="58537"/>
  <c r="G108" i="58537" s="1"/>
  <c r="H57" i="58537"/>
  <c r="J43" i="58550"/>
  <c r="R43" i="58550" s="1"/>
  <c r="Q43" i="58550"/>
  <c r="D50" i="58540"/>
  <c r="E257" i="58540"/>
  <c r="G257" i="58540" s="1"/>
  <c r="E250" i="58540"/>
  <c r="M242" i="58540"/>
  <c r="M245" i="58540" s="1"/>
  <c r="E98" i="58537"/>
  <c r="H98" i="58537"/>
  <c r="H99" i="58537"/>
  <c r="Q43" i="58541" l="1"/>
  <c r="J43" i="58541"/>
  <c r="R43" i="58541" s="1"/>
  <c r="H45" i="58541"/>
  <c r="P44" i="58541"/>
  <c r="I44" i="58541"/>
  <c r="T43" i="58541"/>
  <c r="T42" i="58541"/>
  <c r="D48" i="58536"/>
  <c r="E97" i="58536"/>
  <c r="H55" i="58536"/>
  <c r="H80" i="58545"/>
  <c r="M250" i="58545"/>
  <c r="H83" i="58545" s="1"/>
  <c r="H91" i="58541"/>
  <c r="K90" i="58541"/>
  <c r="S71" i="58541" s="1"/>
  <c r="H77" i="58536"/>
  <c r="M247" i="58536"/>
  <c r="H79" i="58536" s="1"/>
  <c r="E251" i="58536"/>
  <c r="D55" i="58536"/>
  <c r="H98" i="58544"/>
  <c r="G107" i="58544"/>
  <c r="G108" i="58544" s="1"/>
  <c r="H57" i="58544"/>
  <c r="D55" i="58540"/>
  <c r="E251" i="58540"/>
  <c r="H80" i="58537"/>
  <c r="M250" i="58537"/>
  <c r="H83" i="58537" s="1"/>
  <c r="E98" i="58544"/>
  <c r="H99" i="58544"/>
  <c r="Q44" i="58553"/>
  <c r="J44" i="58553"/>
  <c r="R44" i="58553" s="1"/>
  <c r="H93" i="58550"/>
  <c r="K92" i="58550"/>
  <c r="S73" i="58550" s="1"/>
  <c r="M248" i="58544"/>
  <c r="D56" i="58544"/>
  <c r="E252" i="58544"/>
  <c r="D57" i="58544" s="1"/>
  <c r="D48" i="58540"/>
  <c r="E97" i="58540"/>
  <c r="H55" i="58540"/>
  <c r="J44" i="58550"/>
  <c r="R44" i="58550" s="1"/>
  <c r="Q44" i="58550"/>
  <c r="M247" i="58540"/>
  <c r="H79" i="58540" s="1"/>
  <c r="H77" i="58540"/>
  <c r="H46" i="58553"/>
  <c r="P45" i="58553"/>
  <c r="I45" i="58553"/>
  <c r="T44" i="58550"/>
  <c r="P45" i="58550"/>
  <c r="H46" i="58550"/>
  <c r="I45" i="58550"/>
  <c r="H92" i="58541" l="1"/>
  <c r="K91" i="58541"/>
  <c r="S72" i="58541" s="1"/>
  <c r="Q44" i="58541"/>
  <c r="J44" i="58541"/>
  <c r="R44" i="58541" s="1"/>
  <c r="P45" i="58541"/>
  <c r="H46" i="58541"/>
  <c r="I45" i="58541"/>
  <c r="H98" i="58536"/>
  <c r="G107" i="58536"/>
  <c r="G108" i="58536" s="1"/>
  <c r="H57" i="58536"/>
  <c r="E252" i="58536"/>
  <c r="D57" i="58536" s="1"/>
  <c r="M248" i="58536"/>
  <c r="D56" i="58536"/>
  <c r="E98" i="58536"/>
  <c r="H99" i="58536"/>
  <c r="T44" i="58541"/>
  <c r="H98" i="58540"/>
  <c r="G107" i="58540"/>
  <c r="G108" i="58540" s="1"/>
  <c r="H57" i="58540"/>
  <c r="H94" i="58550"/>
  <c r="K93" i="58550"/>
  <c r="S74" i="58550" s="1"/>
  <c r="H47" i="58553"/>
  <c r="P46" i="58553"/>
  <c r="I46" i="58553"/>
  <c r="M248" i="58540"/>
  <c r="D56" i="58540"/>
  <c r="E252" i="58540"/>
  <c r="D57" i="58540" s="1"/>
  <c r="P46" i="58550"/>
  <c r="H47" i="58550"/>
  <c r="I46" i="58550"/>
  <c r="H80" i="58544"/>
  <c r="M251" i="58544"/>
  <c r="H83" i="58544" s="1"/>
  <c r="Q45" i="58553"/>
  <c r="J45" i="58553"/>
  <c r="R45" i="58553" s="1"/>
  <c r="E98" i="58540"/>
  <c r="H99" i="58540"/>
  <c r="J45" i="58550"/>
  <c r="R45" i="58550" s="1"/>
  <c r="Q45" i="58550"/>
  <c r="T44" i="58553"/>
  <c r="P46" i="58541" l="1"/>
  <c r="H47" i="58541"/>
  <c r="I46" i="58541"/>
  <c r="M251" i="58536"/>
  <c r="H83" i="58536" s="1"/>
  <c r="H80" i="58536"/>
  <c r="Q45" i="58541"/>
  <c r="J45" i="58541"/>
  <c r="R45" i="58541" s="1"/>
  <c r="K92" i="58541"/>
  <c r="S73" i="58541" s="1"/>
  <c r="H93" i="58541"/>
  <c r="H80" i="58540"/>
  <c r="M251" i="58540"/>
  <c r="H83" i="58540" s="1"/>
  <c r="Q46" i="58550"/>
  <c r="J46" i="58550"/>
  <c r="R46" i="58550" s="1"/>
  <c r="Q46" i="58553"/>
  <c r="T46" i="58553" s="1"/>
  <c r="J46" i="58553"/>
  <c r="R46" i="58553" s="1"/>
  <c r="H48" i="58553"/>
  <c r="P47" i="58553"/>
  <c r="I47" i="58553"/>
  <c r="H95" i="58550"/>
  <c r="K94" i="58550"/>
  <c r="S75" i="58550" s="1"/>
  <c r="T46" i="58550"/>
  <c r="T45" i="58553"/>
  <c r="T45" i="58550"/>
  <c r="P47" i="58550"/>
  <c r="H48" i="58550"/>
  <c r="I47" i="58550"/>
  <c r="T45" i="58541" l="1"/>
  <c r="J46" i="58541"/>
  <c r="R46" i="58541" s="1"/>
  <c r="Q46" i="58541"/>
  <c r="H94" i="58541"/>
  <c r="K93" i="58541"/>
  <c r="S74" i="58541" s="1"/>
  <c r="P47" i="58541"/>
  <c r="H48" i="58541"/>
  <c r="I47" i="58541"/>
  <c r="H96" i="58550"/>
  <c r="K95" i="58550"/>
  <c r="S76" i="58550" s="1"/>
  <c r="Q47" i="58553"/>
  <c r="J47" i="58553"/>
  <c r="R47" i="58553" s="1"/>
  <c r="Q47" i="58550"/>
  <c r="J47" i="58550"/>
  <c r="R47" i="58550" s="1"/>
  <c r="P48" i="58550"/>
  <c r="H49" i="58550"/>
  <c r="I48" i="58550"/>
  <c r="H49" i="58553"/>
  <c r="P48" i="58553"/>
  <c r="I48" i="58553"/>
  <c r="K94" i="58541" l="1"/>
  <c r="S75" i="58541" s="1"/>
  <c r="H95" i="58541"/>
  <c r="P48" i="58541"/>
  <c r="I48" i="58541"/>
  <c r="H49" i="58541"/>
  <c r="Q47" i="58541"/>
  <c r="J47" i="58541"/>
  <c r="R47" i="58541" s="1"/>
  <c r="T46" i="58541"/>
  <c r="Q48" i="58550"/>
  <c r="J48" i="58550"/>
  <c r="R48" i="58550" s="1"/>
  <c r="H50" i="58550"/>
  <c r="P49" i="58550"/>
  <c r="I49" i="58550"/>
  <c r="Q48" i="58553"/>
  <c r="J48" i="58553"/>
  <c r="R48" i="58553" s="1"/>
  <c r="T48" i="58553"/>
  <c r="H50" i="58553"/>
  <c r="P49" i="58553"/>
  <c r="I49" i="58553"/>
  <c r="T47" i="58553"/>
  <c r="T47" i="58550"/>
  <c r="H97" i="58550"/>
  <c r="K96" i="58550"/>
  <c r="S77" i="58550" s="1"/>
  <c r="P49" i="58541" l="1"/>
  <c r="H50" i="58541"/>
  <c r="I49" i="58541"/>
  <c r="Q48" i="58541"/>
  <c r="T48" i="58541" s="1"/>
  <c r="J48" i="58541"/>
  <c r="R48" i="58541" s="1"/>
  <c r="T47" i="58541"/>
  <c r="H96" i="58541"/>
  <c r="K95" i="58541"/>
  <c r="S76" i="58541" s="1"/>
  <c r="Q49" i="58553"/>
  <c r="T49" i="58553" s="1"/>
  <c r="J49" i="58553"/>
  <c r="R49" i="58553" s="1"/>
  <c r="H98" i="58550"/>
  <c r="K97" i="58550"/>
  <c r="S78" i="58550" s="1"/>
  <c r="Q49" i="58550"/>
  <c r="T49" i="58550" s="1"/>
  <c r="J49" i="58550"/>
  <c r="R49" i="58550" s="1"/>
  <c r="H51" i="58553"/>
  <c r="P50" i="58553"/>
  <c r="I50" i="58553"/>
  <c r="P50" i="58550"/>
  <c r="H51" i="58550"/>
  <c r="I50" i="58550"/>
  <c r="T48" i="58550"/>
  <c r="H97" i="58541" l="1"/>
  <c r="K96" i="58541"/>
  <c r="S77" i="58541" s="1"/>
  <c r="Q49" i="58541"/>
  <c r="J49" i="58541"/>
  <c r="R49" i="58541" s="1"/>
  <c r="P50" i="58541"/>
  <c r="I50" i="58541"/>
  <c r="H51" i="58541"/>
  <c r="Q50" i="58550"/>
  <c r="J50" i="58550"/>
  <c r="R50" i="58550" s="1"/>
  <c r="P51" i="58550"/>
  <c r="H52" i="58550"/>
  <c r="I51" i="58550"/>
  <c r="H99" i="58550"/>
  <c r="K98" i="58550"/>
  <c r="S79" i="58550" s="1"/>
  <c r="Q50" i="58553"/>
  <c r="T50" i="58553" s="1"/>
  <c r="J50" i="58553"/>
  <c r="R50" i="58553" s="1"/>
  <c r="H52" i="58553"/>
  <c r="P51" i="58553"/>
  <c r="I51" i="58553"/>
  <c r="T50" i="58550"/>
  <c r="I51" i="58541" l="1"/>
  <c r="P51" i="58541"/>
  <c r="H52" i="58541"/>
  <c r="Q50" i="58541"/>
  <c r="J50" i="58541"/>
  <c r="R50" i="58541" s="1"/>
  <c r="T49" i="58541"/>
  <c r="T50" i="58541"/>
  <c r="H98" i="58541"/>
  <c r="K97" i="58541"/>
  <c r="S78" i="58541" s="1"/>
  <c r="P52" i="58550"/>
  <c r="H53" i="58550"/>
  <c r="I52" i="58550"/>
  <c r="H100" i="58550"/>
  <c r="K99" i="58550"/>
  <c r="S80" i="58550" s="1"/>
  <c r="Q51" i="58550"/>
  <c r="J51" i="58550"/>
  <c r="R51" i="58550" s="1"/>
  <c r="Q51" i="58553"/>
  <c r="T51" i="58553" s="1"/>
  <c r="J51" i="58553"/>
  <c r="R51" i="58553" s="1"/>
  <c r="H53" i="58553"/>
  <c r="P52" i="58553"/>
  <c r="I52" i="58553"/>
  <c r="H99" i="58541" l="1"/>
  <c r="K98" i="58541"/>
  <c r="S79" i="58541" s="1"/>
  <c r="Q51" i="58541"/>
  <c r="J51" i="58541"/>
  <c r="R51" i="58541" s="1"/>
  <c r="P52" i="58541"/>
  <c r="H53" i="58541"/>
  <c r="I52" i="58541"/>
  <c r="H101" i="58550"/>
  <c r="K100" i="58550"/>
  <c r="S81" i="58550" s="1"/>
  <c r="H54" i="58553"/>
  <c r="P53" i="58553"/>
  <c r="I53" i="58553"/>
  <c r="Q52" i="58553"/>
  <c r="J52" i="58553"/>
  <c r="R52" i="58553" s="1"/>
  <c r="Q52" i="58550"/>
  <c r="J52" i="58550"/>
  <c r="R52" i="58550" s="1"/>
  <c r="T52" i="58550"/>
  <c r="H54" i="58550"/>
  <c r="P53" i="58550"/>
  <c r="I53" i="58550"/>
  <c r="T52" i="58553"/>
  <c r="T51" i="58550"/>
  <c r="Q52" i="58541" l="1"/>
  <c r="J52" i="58541"/>
  <c r="R52" i="58541" s="1"/>
  <c r="I53" i="58541"/>
  <c r="P53" i="58541"/>
  <c r="H54" i="58541"/>
  <c r="T52" i="58541"/>
  <c r="T51" i="58541"/>
  <c r="K99" i="58541"/>
  <c r="S80" i="58541" s="1"/>
  <c r="H100" i="58541"/>
  <c r="P54" i="58550"/>
  <c r="H55" i="58550"/>
  <c r="I54" i="58550"/>
  <c r="H55" i="58553"/>
  <c r="P54" i="58553"/>
  <c r="I54" i="58553"/>
  <c r="H102" i="58550"/>
  <c r="K101" i="58550"/>
  <c r="S82" i="58550" s="1"/>
  <c r="Q53" i="58550"/>
  <c r="T53" i="58550" s="1"/>
  <c r="J53" i="58550"/>
  <c r="R53" i="58550" s="1"/>
  <c r="Q53" i="58553"/>
  <c r="T53" i="58553" s="1"/>
  <c r="J53" i="58553"/>
  <c r="R53" i="58553" s="1"/>
  <c r="I54" i="58541" l="1"/>
  <c r="P54" i="58541"/>
  <c r="H55" i="58541"/>
  <c r="Q53" i="58541"/>
  <c r="J53" i="58541"/>
  <c r="R53" i="58541" s="1"/>
  <c r="H101" i="58541"/>
  <c r="K100" i="58541"/>
  <c r="S81" i="58541" s="1"/>
  <c r="T53" i="58541"/>
  <c r="H56" i="58553"/>
  <c r="P55" i="58553"/>
  <c r="I55" i="58553"/>
  <c r="Q54" i="58550"/>
  <c r="J54" i="58550"/>
  <c r="R54" i="58550" s="1"/>
  <c r="H56" i="58550"/>
  <c r="P55" i="58550"/>
  <c r="I55" i="58550"/>
  <c r="H103" i="58550"/>
  <c r="K102" i="58550"/>
  <c r="S83" i="58550" s="1"/>
  <c r="Q54" i="58553"/>
  <c r="J54" i="58553"/>
  <c r="R54" i="58553" s="1"/>
  <c r="H102" i="58541" l="1"/>
  <c r="K101" i="58541"/>
  <c r="S82" i="58541" s="1"/>
  <c r="P55" i="58541"/>
  <c r="H56" i="58541"/>
  <c r="I55" i="58541"/>
  <c r="Q54" i="58541"/>
  <c r="J54" i="58541"/>
  <c r="R54" i="58541" s="1"/>
  <c r="Q55" i="58550"/>
  <c r="J55" i="58550"/>
  <c r="R55" i="58550" s="1"/>
  <c r="Q55" i="58553"/>
  <c r="J55" i="58553"/>
  <c r="R55" i="58553" s="1"/>
  <c r="T54" i="58553"/>
  <c r="P56" i="58550"/>
  <c r="H57" i="58550"/>
  <c r="I56" i="58550"/>
  <c r="H104" i="58550"/>
  <c r="K103" i="58550"/>
  <c r="S84" i="58550" s="1"/>
  <c r="T55" i="58550"/>
  <c r="T54" i="58550"/>
  <c r="H57" i="58553"/>
  <c r="P56" i="58553"/>
  <c r="I56" i="58553"/>
  <c r="P56" i="58541" l="1"/>
  <c r="H57" i="58541"/>
  <c r="I56" i="58541"/>
  <c r="Q55" i="58541"/>
  <c r="J55" i="58541"/>
  <c r="R55" i="58541" s="1"/>
  <c r="T54" i="58541"/>
  <c r="H103" i="58541"/>
  <c r="K102" i="58541"/>
  <c r="S83" i="58541" s="1"/>
  <c r="Q56" i="58550"/>
  <c r="J56" i="58550"/>
  <c r="R56" i="58550" s="1"/>
  <c r="H105" i="58550"/>
  <c r="K104" i="58550"/>
  <c r="S85" i="58550" s="1"/>
  <c r="H58" i="58550"/>
  <c r="P57" i="58550"/>
  <c r="I57" i="58550"/>
  <c r="Q56" i="58553"/>
  <c r="T56" i="58553" s="1"/>
  <c r="J56" i="58553"/>
  <c r="R56" i="58553" s="1"/>
  <c r="H58" i="58553"/>
  <c r="P57" i="58553"/>
  <c r="I57" i="58553"/>
  <c r="T55" i="58553"/>
  <c r="T56" i="58550"/>
  <c r="H104" i="58541" l="1"/>
  <c r="K103" i="58541"/>
  <c r="S84" i="58541" s="1"/>
  <c r="Q56" i="58541"/>
  <c r="T56" i="58541" s="1"/>
  <c r="J56" i="58541"/>
  <c r="R56" i="58541" s="1"/>
  <c r="I57" i="58541"/>
  <c r="P57" i="58541"/>
  <c r="H58" i="58541"/>
  <c r="T55" i="58541"/>
  <c r="Q57" i="58553"/>
  <c r="J57" i="58553"/>
  <c r="R57" i="58553" s="1"/>
  <c r="H106" i="58550"/>
  <c r="K105" i="58550"/>
  <c r="S86" i="58550" s="1"/>
  <c r="P58" i="58550"/>
  <c r="H59" i="58550"/>
  <c r="I58" i="58550"/>
  <c r="T57" i="58553"/>
  <c r="Q57" i="58550"/>
  <c r="T57" i="58550" s="1"/>
  <c r="J57" i="58550"/>
  <c r="R57" i="58550" s="1"/>
  <c r="H59" i="58553"/>
  <c r="P58" i="58553"/>
  <c r="I58" i="58553"/>
  <c r="H59" i="58541" l="1"/>
  <c r="I58" i="58541"/>
  <c r="P58" i="58541"/>
  <c r="Q57" i="58541"/>
  <c r="J57" i="58541"/>
  <c r="R57" i="58541" s="1"/>
  <c r="H105" i="58541"/>
  <c r="K104" i="58541"/>
  <c r="S85" i="58541" s="1"/>
  <c r="Q58" i="58553"/>
  <c r="T58" i="58553" s="1"/>
  <c r="J58" i="58553"/>
  <c r="R58" i="58553" s="1"/>
  <c r="H60" i="58553"/>
  <c r="P59" i="58553"/>
  <c r="I59" i="58553"/>
  <c r="H60" i="58550"/>
  <c r="P59" i="58550"/>
  <c r="I59" i="58550"/>
  <c r="H107" i="58550"/>
  <c r="K106" i="58550"/>
  <c r="S87" i="58550" s="1"/>
  <c r="Q58" i="58550"/>
  <c r="T58" i="58550" s="1"/>
  <c r="J58" i="58550"/>
  <c r="R58" i="58550" s="1"/>
  <c r="H106" i="58541" l="1"/>
  <c r="K105" i="58541"/>
  <c r="S86" i="58541" s="1"/>
  <c r="T57" i="58541"/>
  <c r="J58" i="58541"/>
  <c r="R58" i="58541" s="1"/>
  <c r="Q58" i="58541"/>
  <c r="T58" i="58541" s="1"/>
  <c r="I59" i="58541"/>
  <c r="P59" i="58541"/>
  <c r="H60" i="58541"/>
  <c r="H108" i="58550"/>
  <c r="K107" i="58550"/>
  <c r="S88" i="58550" s="1"/>
  <c r="Q59" i="58550"/>
  <c r="T59" i="58550" s="1"/>
  <c r="J59" i="58550"/>
  <c r="R59" i="58550" s="1"/>
  <c r="H61" i="58553"/>
  <c r="P60" i="58553"/>
  <c r="I60" i="58553"/>
  <c r="Q59" i="58553"/>
  <c r="J59" i="58553"/>
  <c r="R59" i="58553" s="1"/>
  <c r="P60" i="58550"/>
  <c r="H61" i="58550"/>
  <c r="I60" i="58550"/>
  <c r="Q59" i="58541" l="1"/>
  <c r="J59" i="58541"/>
  <c r="R59" i="58541" s="1"/>
  <c r="I60" i="58541"/>
  <c r="P60" i="58541"/>
  <c r="H61" i="58541"/>
  <c r="H64" i="58541"/>
  <c r="K106" i="58541"/>
  <c r="S87" i="58541" s="1"/>
  <c r="H107" i="58541"/>
  <c r="P81" i="58553"/>
  <c r="P89" i="58553"/>
  <c r="P62" i="58553"/>
  <c r="P67" i="58553"/>
  <c r="P68" i="58553"/>
  <c r="P69" i="58553"/>
  <c r="P86" i="58553"/>
  <c r="P91" i="58553"/>
  <c r="P96" i="58553"/>
  <c r="P104" i="58553"/>
  <c r="P112" i="58553"/>
  <c r="P64" i="58553"/>
  <c r="P77" i="58553"/>
  <c r="P79" i="58553"/>
  <c r="P102" i="58553"/>
  <c r="P110" i="58553"/>
  <c r="P118" i="58553"/>
  <c r="P126" i="58553"/>
  <c r="P134" i="58553"/>
  <c r="P65" i="58553"/>
  <c r="P74" i="58553"/>
  <c r="P78" i="58553"/>
  <c r="P85" i="58553"/>
  <c r="P90" i="58553"/>
  <c r="P95" i="58553"/>
  <c r="P98" i="58553"/>
  <c r="P106" i="58553"/>
  <c r="P114" i="58553"/>
  <c r="P122" i="58553"/>
  <c r="P130" i="58553"/>
  <c r="P97" i="58553"/>
  <c r="P127" i="58553"/>
  <c r="P128" i="58553"/>
  <c r="P129" i="58553"/>
  <c r="P72" i="58553"/>
  <c r="P80" i="58553"/>
  <c r="P124" i="58553"/>
  <c r="P133" i="58553"/>
  <c r="P88" i="58553"/>
  <c r="P123" i="58553"/>
  <c r="P132" i="58553"/>
  <c r="P70" i="58553"/>
  <c r="P73" i="58553"/>
  <c r="P75" i="58553"/>
  <c r="P82" i="58553"/>
  <c r="P94" i="58553"/>
  <c r="P101" i="58553"/>
  <c r="P105" i="58553"/>
  <c r="P109" i="58553"/>
  <c r="P113" i="58553"/>
  <c r="P121" i="58553"/>
  <c r="P131" i="58553"/>
  <c r="P61" i="58553"/>
  <c r="P71" i="58553"/>
  <c r="P76" i="58553"/>
  <c r="P92" i="58553"/>
  <c r="P99" i="58553"/>
  <c r="P103" i="58553"/>
  <c r="P107" i="58553"/>
  <c r="P111" i="58553"/>
  <c r="P116" i="58553"/>
  <c r="P136" i="58553"/>
  <c r="P83" i="58553"/>
  <c r="P125" i="58553"/>
  <c r="P117" i="58553"/>
  <c r="P135" i="58553"/>
  <c r="P66" i="58553"/>
  <c r="P115" i="58553"/>
  <c r="P84" i="58553"/>
  <c r="P87" i="58553"/>
  <c r="P93" i="58553"/>
  <c r="P119" i="58553"/>
  <c r="P137" i="58553"/>
  <c r="P63" i="58553"/>
  <c r="P100" i="58553"/>
  <c r="P108" i="58553"/>
  <c r="P150" i="58553"/>
  <c r="P120" i="58553"/>
  <c r="I61" i="58553"/>
  <c r="H64" i="58553"/>
  <c r="T60" i="58550"/>
  <c r="Q60" i="58550"/>
  <c r="J60" i="58550"/>
  <c r="R60" i="58550" s="1"/>
  <c r="Q60" i="58553"/>
  <c r="J60" i="58553"/>
  <c r="R60" i="58553" s="1"/>
  <c r="P63" i="58550"/>
  <c r="P69" i="58550"/>
  <c r="P70" i="58550"/>
  <c r="P77" i="58550"/>
  <c r="P86" i="58550"/>
  <c r="P66" i="58550"/>
  <c r="P72" i="58550"/>
  <c r="P76" i="58550"/>
  <c r="P84" i="58550"/>
  <c r="P89" i="58550"/>
  <c r="P78" i="58550"/>
  <c r="P150" i="58550"/>
  <c r="P75" i="58550"/>
  <c r="P79" i="58550"/>
  <c r="P68" i="58550"/>
  <c r="P80" i="58550"/>
  <c r="P71" i="58550"/>
  <c r="P87" i="58550"/>
  <c r="P65" i="58550"/>
  <c r="P73" i="58550"/>
  <c r="P67" i="58550"/>
  <c r="P82" i="58550"/>
  <c r="P83" i="58550"/>
  <c r="P64" i="58550"/>
  <c r="P81" i="58550"/>
  <c r="P85" i="58550"/>
  <c r="P61" i="58550"/>
  <c r="P62" i="58550"/>
  <c r="P74" i="58550"/>
  <c r="P88" i="58550"/>
  <c r="I61" i="58550"/>
  <c r="H64" i="58550"/>
  <c r="T59" i="58553"/>
  <c r="H109" i="58550"/>
  <c r="P90" i="58550" s="1"/>
  <c r="K108" i="58550"/>
  <c r="S89" i="58550" s="1"/>
  <c r="H108" i="58541" l="1"/>
  <c r="K107" i="58541"/>
  <c r="S88" i="58541" s="1"/>
  <c r="P66" i="58541"/>
  <c r="P72" i="58541"/>
  <c r="P62" i="58541"/>
  <c r="I61" i="58541"/>
  <c r="P80" i="58541"/>
  <c r="P71" i="58541"/>
  <c r="P76" i="58541"/>
  <c r="P85" i="58541"/>
  <c r="P79" i="58541"/>
  <c r="P86" i="58541"/>
  <c r="P81" i="58541"/>
  <c r="P84" i="58541"/>
  <c r="P77" i="58541"/>
  <c r="P78" i="58541"/>
  <c r="P73" i="58541"/>
  <c r="P75" i="58541"/>
  <c r="P63" i="58541"/>
  <c r="P65" i="58541"/>
  <c r="P74" i="58541"/>
  <c r="P64" i="58541"/>
  <c r="P70" i="58541"/>
  <c r="P83" i="58541"/>
  <c r="P68" i="58541"/>
  <c r="P150" i="58541"/>
  <c r="P82" i="58541"/>
  <c r="P87" i="58541"/>
  <c r="P88" i="58541"/>
  <c r="P69" i="58541"/>
  <c r="P67" i="58541"/>
  <c r="P61" i="58541"/>
  <c r="P89" i="58541"/>
  <c r="Q60" i="58541"/>
  <c r="J60" i="58541"/>
  <c r="R60" i="58541" s="1"/>
  <c r="T59" i="58541"/>
  <c r="T60" i="58541"/>
  <c r="Q61" i="58553"/>
  <c r="J61" i="58553"/>
  <c r="R61" i="58553" s="1"/>
  <c r="I92" i="58553"/>
  <c r="I88" i="58553"/>
  <c r="I145" i="58553"/>
  <c r="I99" i="58553"/>
  <c r="I127" i="58553"/>
  <c r="I111" i="58553"/>
  <c r="I150" i="58553"/>
  <c r="I144" i="58553"/>
  <c r="I105" i="58553"/>
  <c r="I143" i="58553"/>
  <c r="I98" i="58553"/>
  <c r="I84" i="58553"/>
  <c r="I86" i="58553"/>
  <c r="I102" i="58553"/>
  <c r="I125" i="58553"/>
  <c r="I91" i="58553"/>
  <c r="I104" i="58553"/>
  <c r="I152" i="58553"/>
  <c r="I121" i="58553"/>
  <c r="I100" i="58553"/>
  <c r="I123" i="58553"/>
  <c r="I129" i="58553"/>
  <c r="I128" i="58553"/>
  <c r="I110" i="58553"/>
  <c r="I89" i="58553"/>
  <c r="I83" i="58553"/>
  <c r="I112" i="58553"/>
  <c r="I114" i="58553"/>
  <c r="I137" i="58553"/>
  <c r="I97" i="58553"/>
  <c r="I156" i="58553"/>
  <c r="I154" i="58553"/>
  <c r="I153" i="58553"/>
  <c r="I82" i="58553"/>
  <c r="I120" i="58553"/>
  <c r="I136" i="58553"/>
  <c r="I148" i="58553"/>
  <c r="I109" i="58553"/>
  <c r="I106" i="58553"/>
  <c r="I142" i="58553"/>
  <c r="I90" i="58553"/>
  <c r="I101" i="58553"/>
  <c r="I151" i="58553"/>
  <c r="I146" i="58553"/>
  <c r="I103" i="58553"/>
  <c r="I130" i="58553"/>
  <c r="I93" i="58553"/>
  <c r="I113" i="58553"/>
  <c r="I133" i="58553"/>
  <c r="I140" i="58553"/>
  <c r="I135" i="58553"/>
  <c r="I124" i="58553"/>
  <c r="I85" i="58553"/>
  <c r="I131" i="58553"/>
  <c r="I134" i="58553"/>
  <c r="I119" i="58553"/>
  <c r="I147" i="58553"/>
  <c r="I81" i="58553"/>
  <c r="I122" i="58553"/>
  <c r="I87" i="58553"/>
  <c r="I118" i="58553"/>
  <c r="I107" i="58553"/>
  <c r="I141" i="58553"/>
  <c r="I149" i="58553"/>
  <c r="I139" i="58553"/>
  <c r="I155" i="58553"/>
  <c r="I108" i="58553"/>
  <c r="I115" i="58553"/>
  <c r="I126" i="58553"/>
  <c r="I116" i="58553"/>
  <c r="I96" i="58553"/>
  <c r="I94" i="58553"/>
  <c r="I95" i="58553"/>
  <c r="I138" i="58553"/>
  <c r="I132" i="58553"/>
  <c r="I117" i="58553"/>
  <c r="T60" i="58553"/>
  <c r="Q61" i="58550"/>
  <c r="T61" i="58550" s="1"/>
  <c r="U61" i="58550" s="1"/>
  <c r="J61" i="58550"/>
  <c r="R61" i="58550" s="1"/>
  <c r="I81" i="58550"/>
  <c r="I82" i="58550"/>
  <c r="I83" i="58550"/>
  <c r="I84" i="58550"/>
  <c r="I85" i="58550"/>
  <c r="I86" i="58550"/>
  <c r="I87" i="58550"/>
  <c r="I88" i="58550"/>
  <c r="I89" i="58550"/>
  <c r="I90" i="58550"/>
  <c r="I91" i="58550"/>
  <c r="I92" i="58550"/>
  <c r="I93" i="58550"/>
  <c r="I94" i="58550"/>
  <c r="I95" i="58550"/>
  <c r="I96" i="58550"/>
  <c r="I97" i="58550"/>
  <c r="I98" i="58550"/>
  <c r="I99" i="58550"/>
  <c r="I100" i="58550"/>
  <c r="I101" i="58550"/>
  <c r="I102" i="58550"/>
  <c r="I103" i="58550"/>
  <c r="I104" i="58550"/>
  <c r="I105" i="58550"/>
  <c r="I106" i="58550"/>
  <c r="I107" i="58550"/>
  <c r="H110" i="58550"/>
  <c r="K109" i="58550"/>
  <c r="S90" i="58550" s="1"/>
  <c r="I109" i="58550"/>
  <c r="I108" i="58550"/>
  <c r="I88" i="58541" l="1"/>
  <c r="I91" i="58541"/>
  <c r="I100" i="58541"/>
  <c r="I85" i="58541"/>
  <c r="I101" i="58541"/>
  <c r="I83" i="58541"/>
  <c r="I102" i="58541"/>
  <c r="I86" i="58541"/>
  <c r="I93" i="58541"/>
  <c r="I94" i="58541"/>
  <c r="I104" i="58541"/>
  <c r="I90" i="58541"/>
  <c r="I99" i="58541"/>
  <c r="I87" i="58541"/>
  <c r="Q61" i="58541"/>
  <c r="I92" i="58541"/>
  <c r="I95" i="58541"/>
  <c r="I103" i="58541"/>
  <c r="I96" i="58541"/>
  <c r="I106" i="58541"/>
  <c r="J61" i="58541"/>
  <c r="R61" i="58541" s="1"/>
  <c r="I81" i="58541"/>
  <c r="I98" i="58541"/>
  <c r="I82" i="58541"/>
  <c r="I84" i="58541"/>
  <c r="I97" i="58541"/>
  <c r="I105" i="58541"/>
  <c r="I89" i="58541"/>
  <c r="T61" i="58541"/>
  <c r="U61" i="58541" s="1"/>
  <c r="I107" i="58541"/>
  <c r="H109" i="58541"/>
  <c r="K108" i="58541"/>
  <c r="S89" i="58541" s="1"/>
  <c r="I108" i="58541"/>
  <c r="M97" i="58550"/>
  <c r="J97" i="58550"/>
  <c r="Q78" i="58550"/>
  <c r="Q112" i="58553"/>
  <c r="M131" i="58553"/>
  <c r="J131" i="58553"/>
  <c r="H111" i="58550"/>
  <c r="K110" i="58550"/>
  <c r="S91" i="58550" s="1"/>
  <c r="I110" i="58550"/>
  <c r="P91" i="58550"/>
  <c r="Q88" i="58550"/>
  <c r="M107" i="58550"/>
  <c r="J107" i="58550"/>
  <c r="Q80" i="58550"/>
  <c r="M99" i="58550"/>
  <c r="J99" i="58550"/>
  <c r="Q72" i="58550"/>
  <c r="M91" i="58550"/>
  <c r="J91" i="58550"/>
  <c r="Q64" i="58550"/>
  <c r="M83" i="58550"/>
  <c r="J83" i="58550"/>
  <c r="Q75" i="58553"/>
  <c r="T76" i="58553" s="1"/>
  <c r="M94" i="58553"/>
  <c r="J94" i="58553"/>
  <c r="M149" i="58553"/>
  <c r="Q130" i="58553"/>
  <c r="J149" i="58553"/>
  <c r="M119" i="58553"/>
  <c r="Q100" i="58553"/>
  <c r="J119" i="58553"/>
  <c r="Q94" i="58553"/>
  <c r="M113" i="58553"/>
  <c r="J113" i="58553"/>
  <c r="Q123" i="58553"/>
  <c r="M142" i="58553"/>
  <c r="J142" i="58553"/>
  <c r="M154" i="58553"/>
  <c r="Q135" i="58553"/>
  <c r="T136" i="58553" s="1"/>
  <c r="J154" i="58553"/>
  <c r="Q91" i="58553"/>
  <c r="M110" i="58553"/>
  <c r="J110" i="58553"/>
  <c r="Q72" i="58553"/>
  <c r="M91" i="58553"/>
  <c r="J91" i="58553"/>
  <c r="M144" i="58553"/>
  <c r="Q125" i="58553"/>
  <c r="J144" i="58553"/>
  <c r="Q89" i="58550"/>
  <c r="M108" i="58550"/>
  <c r="J108" i="58550"/>
  <c r="M106" i="58550"/>
  <c r="J106" i="58550"/>
  <c r="Q87" i="58550"/>
  <c r="M98" i="58550"/>
  <c r="Q79" i="58550"/>
  <c r="T80" i="58550" s="1"/>
  <c r="J98" i="58550"/>
  <c r="M90" i="58550"/>
  <c r="Q71" i="58550"/>
  <c r="T72" i="58550" s="1"/>
  <c r="J90" i="58550"/>
  <c r="M82" i="58550"/>
  <c r="Q63" i="58550"/>
  <c r="J82" i="58550"/>
  <c r="Q77" i="58553"/>
  <c r="M96" i="58553"/>
  <c r="J96" i="58553"/>
  <c r="M141" i="58553"/>
  <c r="Q122" i="58553"/>
  <c r="J141" i="58553"/>
  <c r="Q115" i="58553"/>
  <c r="M134" i="58553"/>
  <c r="J134" i="58553"/>
  <c r="M93" i="58553"/>
  <c r="Q74" i="58553"/>
  <c r="J93" i="58553"/>
  <c r="Q87" i="58553"/>
  <c r="M106" i="58553"/>
  <c r="J106" i="58553"/>
  <c r="M156" i="58553"/>
  <c r="Q137" i="58553"/>
  <c r="J156" i="58553"/>
  <c r="Q109" i="58553"/>
  <c r="M128" i="58553"/>
  <c r="J128" i="58553"/>
  <c r="M125" i="58553"/>
  <c r="Q106" i="58553"/>
  <c r="J125" i="58553"/>
  <c r="Q131" i="58553"/>
  <c r="M150" i="58553"/>
  <c r="J150" i="58553"/>
  <c r="M81" i="58550"/>
  <c r="Q62" i="58550"/>
  <c r="T63" i="58550" s="1"/>
  <c r="J81" i="58550"/>
  <c r="Q111" i="58553"/>
  <c r="M130" i="58553"/>
  <c r="J130" i="58553"/>
  <c r="M129" i="58553"/>
  <c r="Q110" i="58553"/>
  <c r="T111" i="58553" s="1"/>
  <c r="J129" i="58553"/>
  <c r="Q85" i="58550"/>
  <c r="M104" i="58550"/>
  <c r="J104" i="58550"/>
  <c r="Q66" i="58553"/>
  <c r="M85" i="58553"/>
  <c r="J85" i="58553"/>
  <c r="M137" i="58553"/>
  <c r="Q118" i="58553"/>
  <c r="J137" i="58553"/>
  <c r="Q108" i="58553"/>
  <c r="M127" i="58553"/>
  <c r="J127" i="58553"/>
  <c r="M103" i="58550"/>
  <c r="Q84" i="58550"/>
  <c r="T85" i="58550" s="1"/>
  <c r="J103" i="58550"/>
  <c r="M87" i="58553"/>
  <c r="L201" i="58553" s="1"/>
  <c r="Q68" i="58553"/>
  <c r="J87" i="58553"/>
  <c r="I206" i="58553"/>
  <c r="I217" i="58553"/>
  <c r="I242" i="58553"/>
  <c r="I229" i="58553"/>
  <c r="I216" i="58553"/>
  <c r="I230" i="58553"/>
  <c r="I226" i="58553"/>
  <c r="I235" i="58553"/>
  <c r="I241" i="58553"/>
  <c r="I240" i="58553"/>
  <c r="I252" i="58553"/>
  <c r="I238" i="58553"/>
  <c r="I208" i="58553"/>
  <c r="I221" i="58553"/>
  <c r="I227" i="58553"/>
  <c r="I233" i="58553"/>
  <c r="I224" i="58553"/>
  <c r="I214" i="58553"/>
  <c r="I253" i="58553"/>
  <c r="I246" i="58553"/>
  <c r="I218" i="58553"/>
  <c r="I209" i="58553"/>
  <c r="I254" i="58553"/>
  <c r="I225" i="58553"/>
  <c r="I248" i="58553"/>
  <c r="I210" i="58553"/>
  <c r="I231" i="58553"/>
  <c r="I211" i="58553"/>
  <c r="I237" i="58553"/>
  <c r="I222" i="58553"/>
  <c r="I251" i="58553"/>
  <c r="I239" i="58553"/>
  <c r="I223" i="58553"/>
  <c r="I219" i="58553"/>
  <c r="I207" i="58553"/>
  <c r="I244" i="58553"/>
  <c r="I245" i="58553"/>
  <c r="I212" i="58553"/>
  <c r="I215" i="58553"/>
  <c r="I232" i="58553"/>
  <c r="I247" i="58553"/>
  <c r="I249" i="58553"/>
  <c r="I250" i="58553"/>
  <c r="I236" i="58553"/>
  <c r="I205" i="58553"/>
  <c r="I220" i="58553"/>
  <c r="I234" i="58553"/>
  <c r="I228" i="58553"/>
  <c r="I213" i="58553"/>
  <c r="I243" i="58553"/>
  <c r="Q117" i="58553"/>
  <c r="T118" i="58553" s="1"/>
  <c r="M136" i="58553"/>
  <c r="J136" i="58553"/>
  <c r="M84" i="58553"/>
  <c r="Q65" i="58553"/>
  <c r="J84" i="58553"/>
  <c r="Q80" i="58553"/>
  <c r="M99" i="58553"/>
  <c r="J99" i="58553"/>
  <c r="Q83" i="58550"/>
  <c r="T84" i="58550" s="1"/>
  <c r="M102" i="58550"/>
  <c r="J102" i="58550"/>
  <c r="M94" i="58550"/>
  <c r="J94" i="58550"/>
  <c r="Q75" i="58550"/>
  <c r="M86" i="58550"/>
  <c r="Q67" i="58550"/>
  <c r="J86" i="58550"/>
  <c r="M132" i="58553"/>
  <c r="Q113" i="58553"/>
  <c r="J132" i="58553"/>
  <c r="Q89" i="58553"/>
  <c r="T90" i="58553" s="1"/>
  <c r="M108" i="58553"/>
  <c r="J108" i="58553"/>
  <c r="Q103" i="58553"/>
  <c r="M122" i="58553"/>
  <c r="J122" i="58553"/>
  <c r="M135" i="58553"/>
  <c r="Q116" i="58553"/>
  <c r="T117" i="58553" s="1"/>
  <c r="J135" i="58553"/>
  <c r="M151" i="58553"/>
  <c r="Q132" i="58553"/>
  <c r="J151" i="58553"/>
  <c r="Q101" i="58553"/>
  <c r="M120" i="58553"/>
  <c r="J120" i="58553"/>
  <c r="Q93" i="58553"/>
  <c r="T94" i="58553" s="1"/>
  <c r="M112" i="58553"/>
  <c r="J112" i="58553"/>
  <c r="M121" i="58553"/>
  <c r="Q102" i="58553"/>
  <c r="T103" i="58553" s="1"/>
  <c r="J121" i="58553"/>
  <c r="M98" i="58553"/>
  <c r="Q79" i="58553"/>
  <c r="T80" i="58553" s="1"/>
  <c r="J98" i="58553"/>
  <c r="Q126" i="58553"/>
  <c r="T127" i="58553" s="1"/>
  <c r="M145" i="58553"/>
  <c r="J145" i="58553"/>
  <c r="M105" i="58550"/>
  <c r="Q86" i="58550"/>
  <c r="T87" i="58550" s="1"/>
  <c r="J105" i="58550"/>
  <c r="M107" i="58553"/>
  <c r="Q88" i="58553"/>
  <c r="J107" i="58553"/>
  <c r="M97" i="58553"/>
  <c r="Q78" i="58553"/>
  <c r="J97" i="58553"/>
  <c r="Q92" i="58553"/>
  <c r="T93" i="58553" s="1"/>
  <c r="M111" i="58553"/>
  <c r="J111" i="58553"/>
  <c r="Q77" i="58550"/>
  <c r="M96" i="58550"/>
  <c r="J96" i="58550"/>
  <c r="Q99" i="58553"/>
  <c r="T100" i="58553" s="1"/>
  <c r="M118" i="58553"/>
  <c r="J118" i="58553"/>
  <c r="Q84" i="58553"/>
  <c r="M103" i="58553"/>
  <c r="J103" i="58553"/>
  <c r="M123" i="58553"/>
  <c r="Q104" i="58553"/>
  <c r="J123" i="58553"/>
  <c r="Q76" i="58550"/>
  <c r="M95" i="58550"/>
  <c r="J95" i="58550"/>
  <c r="M115" i="58553"/>
  <c r="Q96" i="58553"/>
  <c r="J115" i="58553"/>
  <c r="Q127" i="58553"/>
  <c r="M146" i="58553"/>
  <c r="J146" i="58553"/>
  <c r="Q81" i="58553"/>
  <c r="M100" i="58553"/>
  <c r="J100" i="58553"/>
  <c r="J109" i="58550"/>
  <c r="M109" i="58550"/>
  <c r="Q90" i="58550"/>
  <c r="M101" i="58550"/>
  <c r="Q82" i="58550"/>
  <c r="J101" i="58550"/>
  <c r="Q74" i="58550"/>
  <c r="T75" i="58550" s="1"/>
  <c r="M93" i="58550"/>
  <c r="J93" i="58550"/>
  <c r="Q66" i="58550"/>
  <c r="T67" i="58550" s="1"/>
  <c r="M85" i="58550"/>
  <c r="J85" i="58550"/>
  <c r="Q119" i="58553"/>
  <c r="M138" i="58553"/>
  <c r="J138" i="58553"/>
  <c r="M155" i="58553"/>
  <c r="Q136" i="58553"/>
  <c r="T137" i="58553" s="1"/>
  <c r="J155" i="58553"/>
  <c r="Q62" i="58553"/>
  <c r="T62" i="58553" s="1"/>
  <c r="M81" i="58553"/>
  <c r="J81" i="58553"/>
  <c r="M140" i="58553"/>
  <c r="Q121" i="58553"/>
  <c r="T122" i="58553" s="1"/>
  <c r="J140" i="58553"/>
  <c r="Q82" i="58553"/>
  <c r="M101" i="58553"/>
  <c r="J101" i="58553"/>
  <c r="M82" i="58553"/>
  <c r="Q63" i="58553"/>
  <c r="T64" i="58553" s="1"/>
  <c r="J82" i="58553"/>
  <c r="M83" i="58553"/>
  <c r="Q64" i="58553"/>
  <c r="T65" i="58553" s="1"/>
  <c r="J83" i="58553"/>
  <c r="M152" i="58553"/>
  <c r="Q133" i="58553"/>
  <c r="J152" i="58553"/>
  <c r="Q124" i="58553"/>
  <c r="T125" i="58553" s="1"/>
  <c r="M143" i="58553"/>
  <c r="J143" i="58553"/>
  <c r="M88" i="58553"/>
  <c r="Q69" i="58553"/>
  <c r="J88" i="58553"/>
  <c r="T61" i="58553"/>
  <c r="U61" i="58553" s="1"/>
  <c r="M89" i="58550"/>
  <c r="Q70" i="58550"/>
  <c r="T71" i="58550" s="1"/>
  <c r="J89" i="58550"/>
  <c r="Q97" i="58553"/>
  <c r="T98" i="58553" s="1"/>
  <c r="M116" i="58553"/>
  <c r="J116" i="58553"/>
  <c r="M109" i="58553"/>
  <c r="Q90" i="58553"/>
  <c r="T91" i="58553" s="1"/>
  <c r="J109" i="58553"/>
  <c r="Q83" i="58553"/>
  <c r="T84" i="58553" s="1"/>
  <c r="M102" i="58553"/>
  <c r="J102" i="58553"/>
  <c r="M88" i="58550"/>
  <c r="Q69" i="58550"/>
  <c r="J88" i="58550"/>
  <c r="Q107" i="58553"/>
  <c r="T108" i="58553" s="1"/>
  <c r="M126" i="58553"/>
  <c r="J126" i="58553"/>
  <c r="M148" i="58553"/>
  <c r="Q129" i="58553"/>
  <c r="T130" i="58553" s="1"/>
  <c r="J148" i="58553"/>
  <c r="M86" i="58553"/>
  <c r="Q67" i="58553"/>
  <c r="T68" i="58553" s="1"/>
  <c r="J86" i="58553"/>
  <c r="Q68" i="58550"/>
  <c r="T69" i="58550" s="1"/>
  <c r="M87" i="58550"/>
  <c r="L201" i="58550" s="1"/>
  <c r="J87" i="58550"/>
  <c r="I248" i="58550"/>
  <c r="I236" i="58550"/>
  <c r="I222" i="58550"/>
  <c r="I247" i="58550"/>
  <c r="I240" i="58550"/>
  <c r="I251" i="58550"/>
  <c r="I233" i="58550"/>
  <c r="I209" i="58550"/>
  <c r="I242" i="58550"/>
  <c r="I216" i="58550"/>
  <c r="I253" i="58550"/>
  <c r="I218" i="58550"/>
  <c r="I234" i="58550"/>
  <c r="I250" i="58550"/>
  <c r="I238" i="58550"/>
  <c r="I205" i="58550"/>
  <c r="I254" i="58550"/>
  <c r="I213" i="58550"/>
  <c r="I208" i="58550"/>
  <c r="I237" i="58550"/>
  <c r="I244" i="58550"/>
  <c r="I215" i="58550"/>
  <c r="I239" i="58550"/>
  <c r="I231" i="58550"/>
  <c r="I252" i="58550"/>
  <c r="I210" i="58550"/>
  <c r="I206" i="58550"/>
  <c r="I225" i="58550"/>
  <c r="I211" i="58550"/>
  <c r="I229" i="58550"/>
  <c r="I214" i="58550"/>
  <c r="I230" i="58550"/>
  <c r="I243" i="58550"/>
  <c r="I232" i="58550"/>
  <c r="I224" i="58550"/>
  <c r="I246" i="58550"/>
  <c r="I220" i="58550"/>
  <c r="I235" i="58550"/>
  <c r="I226" i="58550"/>
  <c r="I212" i="58550"/>
  <c r="I217" i="58550"/>
  <c r="I223" i="58550"/>
  <c r="I221" i="58550"/>
  <c r="I227" i="58550"/>
  <c r="I228" i="58550"/>
  <c r="I245" i="58550"/>
  <c r="I249" i="58550"/>
  <c r="I207" i="58550"/>
  <c r="I219" i="58550"/>
  <c r="I241" i="58550"/>
  <c r="M117" i="58553"/>
  <c r="Q98" i="58553"/>
  <c r="T99" i="58553" s="1"/>
  <c r="J117" i="58553"/>
  <c r="Q105" i="58553"/>
  <c r="T106" i="58553" s="1"/>
  <c r="J124" i="58553"/>
  <c r="M124" i="58553"/>
  <c r="M114" i="58553"/>
  <c r="Q95" i="58553"/>
  <c r="J114" i="58553"/>
  <c r="M100" i="58550"/>
  <c r="Q81" i="58550"/>
  <c r="T82" i="58550" s="1"/>
  <c r="J100" i="58550"/>
  <c r="M92" i="58550"/>
  <c r="Q73" i="58550"/>
  <c r="J92" i="58550"/>
  <c r="Q65" i="58550"/>
  <c r="T66" i="58550" s="1"/>
  <c r="M84" i="58550"/>
  <c r="J84" i="58550"/>
  <c r="M95" i="58553"/>
  <c r="Q76" i="58553"/>
  <c r="T77" i="58553" s="1"/>
  <c r="J95" i="58553"/>
  <c r="M139" i="58553"/>
  <c r="Q120" i="58553"/>
  <c r="J139" i="58553"/>
  <c r="M147" i="58553"/>
  <c r="Q128" i="58553"/>
  <c r="J147" i="58553"/>
  <c r="M133" i="58553"/>
  <c r="Q114" i="58553"/>
  <c r="T115" i="58553" s="1"/>
  <c r="J133" i="58553"/>
  <c r="Q71" i="58553"/>
  <c r="M90" i="58553"/>
  <c r="J90" i="58553"/>
  <c r="Q134" i="58553"/>
  <c r="M153" i="58553"/>
  <c r="J153" i="58553"/>
  <c r="Q70" i="58553"/>
  <c r="T71" i="58553" s="1"/>
  <c r="M89" i="58553"/>
  <c r="J89" i="58553"/>
  <c r="Q85" i="58553"/>
  <c r="M104" i="58553"/>
  <c r="J104" i="58553"/>
  <c r="Q86" i="58553"/>
  <c r="T87" i="58553" s="1"/>
  <c r="M105" i="58553"/>
  <c r="J105" i="58553"/>
  <c r="M92" i="58553"/>
  <c r="Q73" i="58553"/>
  <c r="J92" i="58553"/>
  <c r="M86" i="58541" l="1"/>
  <c r="J86" i="58541"/>
  <c r="Q67" i="58541"/>
  <c r="K109" i="58541"/>
  <c r="S90" i="58541" s="1"/>
  <c r="H110" i="58541"/>
  <c r="I109" i="58541"/>
  <c r="P90" i="58541"/>
  <c r="Q79" i="58541"/>
  <c r="T80" i="58541" s="1"/>
  <c r="M98" i="58541"/>
  <c r="J98" i="58541"/>
  <c r="Q83" i="58541"/>
  <c r="M102" i="58541"/>
  <c r="J102" i="58541"/>
  <c r="T120" i="58553"/>
  <c r="T62" i="58550"/>
  <c r="T114" i="58553"/>
  <c r="T67" i="58553"/>
  <c r="J107" i="58541"/>
  <c r="M107" i="58541"/>
  <c r="Q88" i="58541"/>
  <c r="Q62" i="58541"/>
  <c r="M81" i="58541"/>
  <c r="J81" i="58541"/>
  <c r="I210" i="58541"/>
  <c r="I234" i="58541"/>
  <c r="I226" i="58541"/>
  <c r="I253" i="58541"/>
  <c r="I254" i="58541"/>
  <c r="I252" i="58541"/>
  <c r="I238" i="58541"/>
  <c r="I236" i="58541"/>
  <c r="I228" i="58541"/>
  <c r="I225" i="58541"/>
  <c r="I218" i="58541"/>
  <c r="I220" i="58541"/>
  <c r="I219" i="58541"/>
  <c r="I246" i="58541"/>
  <c r="I237" i="58541"/>
  <c r="I215" i="58541"/>
  <c r="I243" i="58541"/>
  <c r="M87" i="58541"/>
  <c r="L201" i="58541" s="1"/>
  <c r="I231" i="58541"/>
  <c r="I224" i="58541"/>
  <c r="I251" i="58541"/>
  <c r="I211" i="58541"/>
  <c r="I206" i="58541"/>
  <c r="I216" i="58541"/>
  <c r="I208" i="58541"/>
  <c r="I227" i="58541"/>
  <c r="Q68" i="58541"/>
  <c r="I212" i="58541"/>
  <c r="I223" i="58541"/>
  <c r="I214" i="58541"/>
  <c r="I235" i="58541"/>
  <c r="I229" i="58541"/>
  <c r="I233" i="58541"/>
  <c r="I249" i="58541"/>
  <c r="I242" i="58541"/>
  <c r="I244" i="58541"/>
  <c r="J87" i="58541"/>
  <c r="I217" i="58541"/>
  <c r="I241" i="58541"/>
  <c r="I247" i="58541"/>
  <c r="I232" i="58541"/>
  <c r="I207" i="58541"/>
  <c r="I248" i="58541"/>
  <c r="I222" i="58541"/>
  <c r="I221" i="58541"/>
  <c r="I213" i="58541"/>
  <c r="I239" i="58541"/>
  <c r="I209" i="58541"/>
  <c r="I250" i="58541"/>
  <c r="I245" i="58541"/>
  <c r="I240" i="58541"/>
  <c r="I230" i="58541"/>
  <c r="I205" i="58541"/>
  <c r="M83" i="58541"/>
  <c r="J83" i="58541"/>
  <c r="Q64" i="58541"/>
  <c r="T65" i="58541" s="1"/>
  <c r="T135" i="58553"/>
  <c r="T129" i="58553"/>
  <c r="T82" i="58553"/>
  <c r="T85" i="58553"/>
  <c r="T76" i="58550"/>
  <c r="T75" i="58553"/>
  <c r="T73" i="58553"/>
  <c r="T65" i="58550"/>
  <c r="M99" i="58541"/>
  <c r="Q80" i="58541"/>
  <c r="J99" i="58541"/>
  <c r="Q82" i="58541"/>
  <c r="T83" i="58541" s="1"/>
  <c r="J101" i="58541"/>
  <c r="M101" i="58541"/>
  <c r="Q73" i="58541"/>
  <c r="M92" i="58541"/>
  <c r="J92" i="58541"/>
  <c r="T102" i="58553"/>
  <c r="T131" i="58553"/>
  <c r="T89" i="58550"/>
  <c r="T79" i="58550"/>
  <c r="Q70" i="58541"/>
  <c r="M89" i="58541"/>
  <c r="J89" i="58541"/>
  <c r="Q87" i="58541"/>
  <c r="T88" i="58541" s="1"/>
  <c r="M106" i="58541"/>
  <c r="J106" i="58541"/>
  <c r="M90" i="58541"/>
  <c r="J90" i="58541"/>
  <c r="Q71" i="58541"/>
  <c r="T72" i="58541" s="1"/>
  <c r="M85" i="58541"/>
  <c r="Q66" i="58541"/>
  <c r="T67" i="58541" s="1"/>
  <c r="J85" i="58541"/>
  <c r="Q86" i="58541"/>
  <c r="T87" i="58541" s="1"/>
  <c r="M105" i="58541"/>
  <c r="J105" i="58541"/>
  <c r="Q77" i="58541"/>
  <c r="T78" i="58541" s="1"/>
  <c r="J96" i="58541"/>
  <c r="M96" i="58541"/>
  <c r="Q85" i="58541"/>
  <c r="T86" i="58541" s="1"/>
  <c r="M104" i="58541"/>
  <c r="J104" i="58541"/>
  <c r="M100" i="58541"/>
  <c r="Q81" i="58541"/>
  <c r="T82" i="58541" s="1"/>
  <c r="J100" i="58541"/>
  <c r="Q63" i="58541"/>
  <c r="M82" i="58541"/>
  <c r="J82" i="58541"/>
  <c r="M97" i="58541"/>
  <c r="Q78" i="58541"/>
  <c r="J97" i="58541"/>
  <c r="Q84" i="58541"/>
  <c r="J103" i="58541"/>
  <c r="M103" i="58541"/>
  <c r="M94" i="58541"/>
  <c r="Q75" i="58541"/>
  <c r="T76" i="58541" s="1"/>
  <c r="J94" i="58541"/>
  <c r="Q72" i="58541"/>
  <c r="J91" i="58541"/>
  <c r="M91" i="58541"/>
  <c r="M108" i="58541"/>
  <c r="Q89" i="58541"/>
  <c r="J108" i="58541"/>
  <c r="M84" i="58541"/>
  <c r="Q65" i="58541"/>
  <c r="J84" i="58541"/>
  <c r="Q76" i="58541"/>
  <c r="T77" i="58541" s="1"/>
  <c r="M95" i="58541"/>
  <c r="J95" i="58541"/>
  <c r="M93" i="58541"/>
  <c r="Q74" i="58541"/>
  <c r="J93" i="58541"/>
  <c r="Q69" i="58541"/>
  <c r="M88" i="58541"/>
  <c r="J88" i="58541"/>
  <c r="J226" i="58550"/>
  <c r="L226" i="58550" s="1"/>
  <c r="M226" i="58550"/>
  <c r="M233" i="58550"/>
  <c r="J233" i="58550"/>
  <c r="L233" i="58550" s="1"/>
  <c r="R62" i="58553"/>
  <c r="L81" i="58553"/>
  <c r="M210" i="58553"/>
  <c r="J210" i="58553"/>
  <c r="L210" i="58553" s="1"/>
  <c r="R86" i="58553"/>
  <c r="L105" i="58553"/>
  <c r="L95" i="58553"/>
  <c r="R76" i="58553"/>
  <c r="M219" i="58550"/>
  <c r="J219" i="58550"/>
  <c r="L219" i="58550" s="1"/>
  <c r="M217" i="58550"/>
  <c r="J217" i="58550"/>
  <c r="L217" i="58550" s="1"/>
  <c r="M243" i="58550"/>
  <c r="J243" i="58550"/>
  <c r="L243" i="58550" s="1"/>
  <c r="J252" i="58550"/>
  <c r="L252" i="58550" s="1"/>
  <c r="M252" i="58550"/>
  <c r="J254" i="58550"/>
  <c r="L254" i="58550" s="1"/>
  <c r="M254" i="58550"/>
  <c r="J242" i="58550"/>
  <c r="L242" i="58550" s="1"/>
  <c r="M242" i="58550"/>
  <c r="J248" i="58550"/>
  <c r="L248" i="58550" s="1"/>
  <c r="M248" i="58550"/>
  <c r="R83" i="58553"/>
  <c r="L102" i="58553"/>
  <c r="R124" i="58553"/>
  <c r="L143" i="58553"/>
  <c r="R119" i="58553"/>
  <c r="L138" i="58553"/>
  <c r="R74" i="58550"/>
  <c r="L93" i="58550"/>
  <c r="L109" i="58550"/>
  <c r="R90" i="58550"/>
  <c r="T97" i="58553"/>
  <c r="L107" i="58553"/>
  <c r="R88" i="58553"/>
  <c r="R116" i="58553"/>
  <c r="L135" i="58553"/>
  <c r="R67" i="58550"/>
  <c r="L86" i="58550"/>
  <c r="M236" i="58553"/>
  <c r="J236" i="58553"/>
  <c r="L236" i="58553" s="1"/>
  <c r="M244" i="58553"/>
  <c r="J244" i="58553"/>
  <c r="L244" i="58553" s="1"/>
  <c r="M211" i="58553"/>
  <c r="J211" i="58553"/>
  <c r="L211" i="58553" s="1"/>
  <c r="M246" i="58553"/>
  <c r="J246" i="58553"/>
  <c r="L246" i="58553" s="1"/>
  <c r="M238" i="58553"/>
  <c r="J238" i="58553"/>
  <c r="L238" i="58553" s="1"/>
  <c r="M229" i="58553"/>
  <c r="J229" i="58553"/>
  <c r="L229" i="58553" s="1"/>
  <c r="L85" i="58553"/>
  <c r="R66" i="58553"/>
  <c r="T86" i="58550"/>
  <c r="R122" i="58553"/>
  <c r="L141" i="58553"/>
  <c r="L106" i="58550"/>
  <c r="R87" i="58550"/>
  <c r="R100" i="58553"/>
  <c r="L119" i="58553"/>
  <c r="H112" i="58550"/>
  <c r="K111" i="58550"/>
  <c r="S92" i="58550" s="1"/>
  <c r="I111" i="58550"/>
  <c r="P92" i="58550"/>
  <c r="L153" i="58553"/>
  <c r="R134" i="58553"/>
  <c r="L100" i="58550"/>
  <c r="R81" i="58550"/>
  <c r="M207" i="58550"/>
  <c r="J207" i="58550"/>
  <c r="L207" i="58550" s="1"/>
  <c r="J212" i="58550"/>
  <c r="L212" i="58550" s="1"/>
  <c r="M212" i="58550"/>
  <c r="J230" i="58550"/>
  <c r="L230" i="58550" s="1"/>
  <c r="M230" i="58550"/>
  <c r="M231" i="58550"/>
  <c r="J231" i="58550"/>
  <c r="L231" i="58550" s="1"/>
  <c r="M205" i="58550"/>
  <c r="N205" i="58550"/>
  <c r="Q150" i="58550"/>
  <c r="J205" i="58550"/>
  <c r="M209" i="58550"/>
  <c r="J209" i="58550"/>
  <c r="L209" i="58550" s="1"/>
  <c r="R68" i="58550"/>
  <c r="L87" i="58550"/>
  <c r="L89" i="58550"/>
  <c r="R70" i="58550"/>
  <c r="R63" i="58553"/>
  <c r="L82" i="58553"/>
  <c r="L100" i="58553"/>
  <c r="R81" i="58553"/>
  <c r="R84" i="58553"/>
  <c r="L103" i="58553"/>
  <c r="T78" i="58550"/>
  <c r="T89" i="58553"/>
  <c r="R79" i="58553"/>
  <c r="L98" i="58553"/>
  <c r="L132" i="58553"/>
  <c r="R113" i="58553"/>
  <c r="T68" i="58550"/>
  <c r="R80" i="58553"/>
  <c r="L99" i="58553"/>
  <c r="M250" i="58553"/>
  <c r="J250" i="58553"/>
  <c r="L250" i="58553" s="1"/>
  <c r="M207" i="58553"/>
  <c r="J207" i="58553"/>
  <c r="L207" i="58553" s="1"/>
  <c r="M231" i="58553"/>
  <c r="J231" i="58553"/>
  <c r="L231" i="58553" s="1"/>
  <c r="M253" i="58553"/>
  <c r="J253" i="58553"/>
  <c r="L253" i="58553" s="1"/>
  <c r="M252" i="58553"/>
  <c r="J252" i="58553"/>
  <c r="L252" i="58553" s="1"/>
  <c r="M242" i="58553"/>
  <c r="J242" i="58553"/>
  <c r="L242" i="58553" s="1"/>
  <c r="R110" i="58553"/>
  <c r="L129" i="58553"/>
  <c r="L128" i="58553"/>
  <c r="R109" i="58553"/>
  <c r="T88" i="58553"/>
  <c r="T123" i="58553"/>
  <c r="L90" i="58550"/>
  <c r="R71" i="58550"/>
  <c r="L91" i="58553"/>
  <c r="R72" i="58553"/>
  <c r="T101" i="58553"/>
  <c r="R64" i="58550"/>
  <c r="L83" i="58550"/>
  <c r="T81" i="58550"/>
  <c r="R112" i="58553"/>
  <c r="L131" i="58553"/>
  <c r="M249" i="58550"/>
  <c r="J249" i="58550"/>
  <c r="L249" i="58550" s="1"/>
  <c r="M238" i="58550"/>
  <c r="J238" i="58550"/>
  <c r="L238" i="58550" s="1"/>
  <c r="R107" i="58553"/>
  <c r="L126" i="58553"/>
  <c r="M249" i="58553"/>
  <c r="J249" i="58553"/>
  <c r="L249" i="58553" s="1"/>
  <c r="M240" i="58553"/>
  <c r="J240" i="58553"/>
  <c r="L240" i="58553" s="1"/>
  <c r="R74" i="58553"/>
  <c r="L93" i="58553"/>
  <c r="M235" i="58550"/>
  <c r="J235" i="58550"/>
  <c r="L235" i="58550" s="1"/>
  <c r="M250" i="58550"/>
  <c r="J250" i="58550"/>
  <c r="L250" i="58550" s="1"/>
  <c r="R133" i="58553"/>
  <c r="L152" i="58553"/>
  <c r="L122" i="58553"/>
  <c r="R103" i="58553"/>
  <c r="T81" i="58553"/>
  <c r="M223" i="58553"/>
  <c r="J223" i="58553"/>
  <c r="L223" i="58553" s="1"/>
  <c r="M206" i="58553"/>
  <c r="J206" i="58553"/>
  <c r="L206" i="58553" s="1"/>
  <c r="R89" i="58550"/>
  <c r="L108" i="58550"/>
  <c r="T113" i="58553"/>
  <c r="M220" i="58550"/>
  <c r="J220" i="58550"/>
  <c r="L220" i="58550" s="1"/>
  <c r="M234" i="58550"/>
  <c r="J234" i="58550"/>
  <c r="L234" i="58550" s="1"/>
  <c r="R67" i="58553"/>
  <c r="L86" i="58553"/>
  <c r="L101" i="58553"/>
  <c r="R82" i="58553"/>
  <c r="T83" i="58550"/>
  <c r="R102" i="58553"/>
  <c r="L121" i="58553"/>
  <c r="M228" i="58553"/>
  <c r="J228" i="58553"/>
  <c r="L228" i="58553" s="1"/>
  <c r="M233" i="58553"/>
  <c r="J233" i="58553"/>
  <c r="L233" i="58553" s="1"/>
  <c r="T109" i="58553"/>
  <c r="L156" i="58553"/>
  <c r="R137" i="58553"/>
  <c r="R79" i="58550"/>
  <c r="L98" i="58550"/>
  <c r="R91" i="58553"/>
  <c r="L110" i="58553"/>
  <c r="T124" i="58553"/>
  <c r="L92" i="58553"/>
  <c r="R73" i="58553"/>
  <c r="T86" i="58553"/>
  <c r="R120" i="58553"/>
  <c r="L139" i="58553"/>
  <c r="M227" i="58550"/>
  <c r="J227" i="58550"/>
  <c r="L227" i="58550" s="1"/>
  <c r="J246" i="58550"/>
  <c r="L246" i="58550" s="1"/>
  <c r="M246" i="58550"/>
  <c r="M225" i="58550"/>
  <c r="J225" i="58550"/>
  <c r="L225" i="58550" s="1"/>
  <c r="M237" i="58550"/>
  <c r="J237" i="58550"/>
  <c r="L237" i="58550" s="1"/>
  <c r="M218" i="58550"/>
  <c r="J218" i="58550"/>
  <c r="L218" i="58550" s="1"/>
  <c r="M247" i="58550"/>
  <c r="J247" i="58550"/>
  <c r="L247" i="58550" s="1"/>
  <c r="R69" i="58550"/>
  <c r="L88" i="58550"/>
  <c r="R69" i="58553"/>
  <c r="L88" i="58553"/>
  <c r="R136" i="58553"/>
  <c r="L155" i="58553"/>
  <c r="L85" i="58550"/>
  <c r="R66" i="58550"/>
  <c r="T77" i="58550"/>
  <c r="R78" i="58553"/>
  <c r="L97" i="58553"/>
  <c r="R132" i="58553"/>
  <c r="L151" i="58553"/>
  <c r="T104" i="58553"/>
  <c r="T66" i="58553"/>
  <c r="M234" i="58553"/>
  <c r="J234" i="58553"/>
  <c r="L234" i="58553" s="1"/>
  <c r="M215" i="58553"/>
  <c r="J215" i="58553"/>
  <c r="L215" i="58553" s="1"/>
  <c r="J251" i="58553"/>
  <c r="L251" i="58553" s="1"/>
  <c r="M251" i="58553"/>
  <c r="M254" i="58553"/>
  <c r="J254" i="58553"/>
  <c r="L254" i="58553" s="1"/>
  <c r="M227" i="58553"/>
  <c r="J227" i="58553"/>
  <c r="L227" i="58553" s="1"/>
  <c r="M226" i="58553"/>
  <c r="J226" i="58553"/>
  <c r="L226" i="58553" s="1"/>
  <c r="T69" i="58553"/>
  <c r="R118" i="58553"/>
  <c r="L137" i="58553"/>
  <c r="T132" i="58553"/>
  <c r="L134" i="58553"/>
  <c r="R115" i="58553"/>
  <c r="T78" i="58553"/>
  <c r="T90" i="58550"/>
  <c r="R94" i="58553"/>
  <c r="L113" i="58553"/>
  <c r="L97" i="58550"/>
  <c r="R78" i="58550"/>
  <c r="L124" i="58553"/>
  <c r="R105" i="58553"/>
  <c r="M239" i="58550"/>
  <c r="J239" i="58550"/>
  <c r="L239" i="58550" s="1"/>
  <c r="R92" i="58553"/>
  <c r="L111" i="58553"/>
  <c r="J243" i="58553"/>
  <c r="L243" i="58553" s="1"/>
  <c r="M243" i="58553"/>
  <c r="M214" i="58553"/>
  <c r="J214" i="58553"/>
  <c r="L214" i="58553" s="1"/>
  <c r="R108" i="58553"/>
  <c r="L127" i="58553"/>
  <c r="R123" i="58553"/>
  <c r="L142" i="58553"/>
  <c r="R85" i="58553"/>
  <c r="L104" i="58553"/>
  <c r="L84" i="58550"/>
  <c r="R65" i="58550"/>
  <c r="M245" i="58550"/>
  <c r="J245" i="58550"/>
  <c r="L245" i="58550" s="1"/>
  <c r="M215" i="58550"/>
  <c r="J215" i="58550"/>
  <c r="L215" i="58550" s="1"/>
  <c r="J213" i="58553"/>
  <c r="L213" i="58553" s="1"/>
  <c r="M213" i="58553"/>
  <c r="M248" i="58553"/>
  <c r="J248" i="58553"/>
  <c r="L248" i="58553" s="1"/>
  <c r="M241" i="58553"/>
  <c r="J241" i="58553"/>
  <c r="L241" i="58553" s="1"/>
  <c r="L150" i="58553"/>
  <c r="R131" i="58553"/>
  <c r="L96" i="58553"/>
  <c r="R77" i="58553"/>
  <c r="R71" i="58553"/>
  <c r="L90" i="58553"/>
  <c r="J228" i="58550"/>
  <c r="L228" i="58550" s="1"/>
  <c r="M228" i="58550"/>
  <c r="J244" i="58550"/>
  <c r="L244" i="58550" s="1"/>
  <c r="M244" i="58550"/>
  <c r="R99" i="58553"/>
  <c r="L118" i="58553"/>
  <c r="R65" i="58553"/>
  <c r="L84" i="58553"/>
  <c r="J239" i="58553"/>
  <c r="L239" i="58553" s="1"/>
  <c r="M239" i="58553"/>
  <c r="J235" i="58553"/>
  <c r="L235" i="58553" s="1"/>
  <c r="M235" i="58553"/>
  <c r="R72" i="58550"/>
  <c r="L91" i="58550"/>
  <c r="R70" i="58553"/>
  <c r="L89" i="58553"/>
  <c r="T121" i="58553"/>
  <c r="L92" i="58550"/>
  <c r="R73" i="58550"/>
  <c r="R95" i="58553"/>
  <c r="L114" i="58553"/>
  <c r="M221" i="58550"/>
  <c r="J221" i="58550"/>
  <c r="L221" i="58550" s="1"/>
  <c r="J224" i="58550"/>
  <c r="L224" i="58550" s="1"/>
  <c r="M224" i="58550"/>
  <c r="M206" i="58550"/>
  <c r="J206" i="58550"/>
  <c r="L206" i="58550" s="1"/>
  <c r="J208" i="58550"/>
  <c r="L208" i="58550" s="1"/>
  <c r="M208" i="58550"/>
  <c r="J253" i="58550"/>
  <c r="L253" i="58550" s="1"/>
  <c r="M253" i="58550"/>
  <c r="M222" i="58550"/>
  <c r="J222" i="58550"/>
  <c r="L222" i="58550" s="1"/>
  <c r="T70" i="58550"/>
  <c r="L116" i="58553"/>
  <c r="R97" i="58553"/>
  <c r="T70" i="58553"/>
  <c r="R64" i="58553"/>
  <c r="L83" i="58553"/>
  <c r="T83" i="58553"/>
  <c r="T128" i="58553"/>
  <c r="R104" i="58553"/>
  <c r="L123" i="58553"/>
  <c r="T79" i="58553"/>
  <c r="R126" i="58553"/>
  <c r="L145" i="58553"/>
  <c r="T133" i="58553"/>
  <c r="L108" i="58553"/>
  <c r="R89" i="58553"/>
  <c r="R83" i="58550"/>
  <c r="L102" i="58550"/>
  <c r="M220" i="58553"/>
  <c r="J220" i="58553"/>
  <c r="L220" i="58553" s="1"/>
  <c r="M212" i="58553"/>
  <c r="J212" i="58553"/>
  <c r="L212" i="58553" s="1"/>
  <c r="M222" i="58553"/>
  <c r="J222" i="58553"/>
  <c r="L222" i="58553" s="1"/>
  <c r="J209" i="58553"/>
  <c r="L209" i="58553" s="1"/>
  <c r="M209" i="58553"/>
  <c r="M221" i="58553"/>
  <c r="J221" i="58553"/>
  <c r="L221" i="58553" s="1"/>
  <c r="M230" i="58553"/>
  <c r="J230" i="58553"/>
  <c r="L230" i="58553" s="1"/>
  <c r="T119" i="58553"/>
  <c r="R85" i="58550"/>
  <c r="L104" i="58550"/>
  <c r="T112" i="58553"/>
  <c r="R106" i="58553"/>
  <c r="L125" i="58553"/>
  <c r="R63" i="58550"/>
  <c r="L82" i="58550"/>
  <c r="R125" i="58553"/>
  <c r="L144" i="58553"/>
  <c r="T92" i="58553"/>
  <c r="L94" i="58553"/>
  <c r="R75" i="58553"/>
  <c r="T73" i="58550"/>
  <c r="Q91" i="58550"/>
  <c r="T91" i="58550" s="1"/>
  <c r="M110" i="58550"/>
  <c r="J110" i="58550"/>
  <c r="R128" i="58553"/>
  <c r="L147" i="58553"/>
  <c r="J214" i="58550"/>
  <c r="L214" i="58550" s="1"/>
  <c r="M214" i="58550"/>
  <c r="L120" i="58553"/>
  <c r="R101" i="58553"/>
  <c r="M219" i="58553"/>
  <c r="J219" i="58553"/>
  <c r="L219" i="58553" s="1"/>
  <c r="M217" i="58553"/>
  <c r="J217" i="58553"/>
  <c r="L217" i="58553" s="1"/>
  <c r="R88" i="58550"/>
  <c r="L107" i="58550"/>
  <c r="M229" i="58550"/>
  <c r="J229" i="58550"/>
  <c r="L229" i="58550" s="1"/>
  <c r="M251" i="58550"/>
  <c r="J251" i="58550"/>
  <c r="L251" i="58550" s="1"/>
  <c r="R90" i="58553"/>
  <c r="L109" i="58553"/>
  <c r="L101" i="58550"/>
  <c r="R82" i="58550"/>
  <c r="L95" i="58550"/>
  <c r="R76" i="58550"/>
  <c r="R86" i="58550"/>
  <c r="L105" i="58550"/>
  <c r="J247" i="58553"/>
  <c r="L247" i="58553" s="1"/>
  <c r="M247" i="58553"/>
  <c r="M224" i="58553"/>
  <c r="J224" i="58553"/>
  <c r="L224" i="58553" s="1"/>
  <c r="T110" i="58553"/>
  <c r="L149" i="58553"/>
  <c r="R130" i="58553"/>
  <c r="R98" i="58553"/>
  <c r="L117" i="58553"/>
  <c r="M211" i="58550"/>
  <c r="J211" i="58550"/>
  <c r="L211" i="58550" s="1"/>
  <c r="J240" i="58550"/>
  <c r="L240" i="58550" s="1"/>
  <c r="M240" i="58550"/>
  <c r="T134" i="58553"/>
  <c r="T63" i="58553"/>
  <c r="R127" i="58553"/>
  <c r="L146" i="58553"/>
  <c r="R75" i="58550"/>
  <c r="L94" i="58550"/>
  <c r="M232" i="58553"/>
  <c r="J232" i="58553"/>
  <c r="L232" i="58553" s="1"/>
  <c r="M225" i="58553"/>
  <c r="J225" i="58553"/>
  <c r="L225" i="58553" s="1"/>
  <c r="L87" i="58553"/>
  <c r="R68" i="58553"/>
  <c r="L130" i="58553"/>
  <c r="R111" i="58553"/>
  <c r="T74" i="58553"/>
  <c r="T72" i="58553"/>
  <c r="R114" i="58553"/>
  <c r="L133" i="58553"/>
  <c r="T74" i="58550"/>
  <c r="T96" i="58553"/>
  <c r="M241" i="58550"/>
  <c r="J241" i="58550"/>
  <c r="L241" i="58550" s="1"/>
  <c r="M223" i="58550"/>
  <c r="J223" i="58550"/>
  <c r="L223" i="58550" s="1"/>
  <c r="J232" i="58550"/>
  <c r="L232" i="58550" s="1"/>
  <c r="M232" i="58550"/>
  <c r="M210" i="58550"/>
  <c r="J210" i="58550"/>
  <c r="L210" i="58550" s="1"/>
  <c r="M213" i="58550"/>
  <c r="J213" i="58550"/>
  <c r="L213" i="58550" s="1"/>
  <c r="J216" i="58550"/>
  <c r="L216" i="58550" s="1"/>
  <c r="M216" i="58550"/>
  <c r="J236" i="58550"/>
  <c r="L236" i="58550" s="1"/>
  <c r="M236" i="58550"/>
  <c r="L148" i="58553"/>
  <c r="R129" i="58553"/>
  <c r="R121" i="58553"/>
  <c r="L140" i="58553"/>
  <c r="R96" i="58553"/>
  <c r="L115" i="58553"/>
  <c r="T105" i="58553"/>
  <c r="L96" i="58550"/>
  <c r="R77" i="58550"/>
  <c r="L112" i="58553"/>
  <c r="R93" i="58553"/>
  <c r="L136" i="58553"/>
  <c r="R117" i="58553"/>
  <c r="N205" i="58553"/>
  <c r="M205" i="58553"/>
  <c r="Q150" i="58553"/>
  <c r="J205" i="58553"/>
  <c r="M245" i="58553"/>
  <c r="J245" i="58553"/>
  <c r="L245" i="58553" s="1"/>
  <c r="M237" i="58553"/>
  <c r="J237" i="58553"/>
  <c r="L237" i="58553" s="1"/>
  <c r="M218" i="58553"/>
  <c r="J218" i="58553"/>
  <c r="L218" i="58553" s="1"/>
  <c r="M208" i="58553"/>
  <c r="J208" i="58553"/>
  <c r="L208" i="58553" s="1"/>
  <c r="M216" i="58553"/>
  <c r="J216" i="58553"/>
  <c r="L216" i="58553" s="1"/>
  <c r="R84" i="58550"/>
  <c r="L103" i="58550"/>
  <c r="L81" i="58550"/>
  <c r="R62" i="58550"/>
  <c r="T107" i="58553"/>
  <c r="L106" i="58553"/>
  <c r="R87" i="58553"/>
  <c r="T116" i="58553"/>
  <c r="T64" i="58550"/>
  <c r="T88" i="58550"/>
  <c r="T126" i="58553"/>
  <c r="R135" i="58553"/>
  <c r="L154" i="58553"/>
  <c r="T95" i="58553"/>
  <c r="R80" i="58550"/>
  <c r="L99" i="58550"/>
  <c r="J247" i="58541" l="1"/>
  <c r="L247" i="58541" s="1"/>
  <c r="M247" i="58541"/>
  <c r="T139" i="58553"/>
  <c r="T75" i="58541"/>
  <c r="L108" i="58541"/>
  <c r="R89" i="58541"/>
  <c r="T74" i="58541"/>
  <c r="L83" i="58541"/>
  <c r="R64" i="58541"/>
  <c r="J239" i="58541"/>
  <c r="L239" i="58541" s="1"/>
  <c r="M239" i="58541"/>
  <c r="M241" i="58541"/>
  <c r="J241" i="58541"/>
  <c r="L241" i="58541" s="1"/>
  <c r="M235" i="58541"/>
  <c r="J235" i="58541"/>
  <c r="L235" i="58541" s="1"/>
  <c r="M206" i="58541"/>
  <c r="J206" i="58541"/>
  <c r="L206" i="58541" s="1"/>
  <c r="J237" i="58541"/>
  <c r="L237" i="58541" s="1"/>
  <c r="M237" i="58541"/>
  <c r="M238" i="58541"/>
  <c r="J238" i="58541"/>
  <c r="L238" i="58541" s="1"/>
  <c r="J209" i="58541"/>
  <c r="L209" i="58541" s="1"/>
  <c r="M209" i="58541"/>
  <c r="M236" i="58541"/>
  <c r="J236" i="58541"/>
  <c r="L236" i="58541" s="1"/>
  <c r="T64" i="58541"/>
  <c r="R77" i="58541"/>
  <c r="L96" i="58541"/>
  <c r="T71" i="58541"/>
  <c r="J213" i="58541"/>
  <c r="L213" i="58541" s="1"/>
  <c r="M213" i="58541"/>
  <c r="M217" i="58541"/>
  <c r="J217" i="58541"/>
  <c r="L217" i="58541" s="1"/>
  <c r="M214" i="58541"/>
  <c r="J214" i="58541"/>
  <c r="L214" i="58541" s="1"/>
  <c r="J211" i="58541"/>
  <c r="L211" i="58541" s="1"/>
  <c r="M211" i="58541"/>
  <c r="M246" i="58541"/>
  <c r="J246" i="58541"/>
  <c r="L246" i="58541" s="1"/>
  <c r="M252" i="58541"/>
  <c r="J252" i="58541"/>
  <c r="L252" i="58541" s="1"/>
  <c r="T63" i="58541"/>
  <c r="R83" i="58541"/>
  <c r="L102" i="58541"/>
  <c r="M109" i="58541"/>
  <c r="Q90" i="58541"/>
  <c r="J109" i="58541"/>
  <c r="R70" i="58541"/>
  <c r="L89" i="58541"/>
  <c r="R76" i="58541"/>
  <c r="L95" i="58541"/>
  <c r="R84" i="58541"/>
  <c r="L103" i="58541"/>
  <c r="R81" i="58541"/>
  <c r="L100" i="58541"/>
  <c r="R71" i="58541"/>
  <c r="L90" i="58541"/>
  <c r="R82" i="58541"/>
  <c r="L101" i="58541"/>
  <c r="Q150" i="58541"/>
  <c r="N205" i="58541"/>
  <c r="M205" i="58541"/>
  <c r="J205" i="58541"/>
  <c r="M221" i="58541"/>
  <c r="J221" i="58541"/>
  <c r="L221" i="58541" s="1"/>
  <c r="R68" i="58541"/>
  <c r="L87" i="58541"/>
  <c r="M223" i="58541"/>
  <c r="J223" i="58541"/>
  <c r="L223" i="58541" s="1"/>
  <c r="J251" i="58541"/>
  <c r="L251" i="58541" s="1"/>
  <c r="M251" i="58541"/>
  <c r="J219" i="58541"/>
  <c r="L219" i="58541" s="1"/>
  <c r="M219" i="58541"/>
  <c r="M254" i="58541"/>
  <c r="J254" i="58541"/>
  <c r="L254" i="58541" s="1"/>
  <c r="T89" i="58541"/>
  <c r="K110" i="58541"/>
  <c r="S91" i="58541" s="1"/>
  <c r="H111" i="58541"/>
  <c r="I110" i="58541"/>
  <c r="P91" i="58541"/>
  <c r="R63" i="58541"/>
  <c r="L82" i="58541"/>
  <c r="M216" i="58541"/>
  <c r="J216" i="58541"/>
  <c r="L216" i="58541" s="1"/>
  <c r="T85" i="58541"/>
  <c r="L105" i="58541"/>
  <c r="R86" i="58541"/>
  <c r="J230" i="58541"/>
  <c r="L230" i="58541" s="1"/>
  <c r="M230" i="58541"/>
  <c r="M222" i="58541"/>
  <c r="J222" i="58541"/>
  <c r="L222" i="58541" s="1"/>
  <c r="J244" i="58541"/>
  <c r="L244" i="58541" s="1"/>
  <c r="M244" i="58541"/>
  <c r="M212" i="58541"/>
  <c r="J212" i="58541"/>
  <c r="L212" i="58541" s="1"/>
  <c r="M224" i="58541"/>
  <c r="J224" i="58541"/>
  <c r="L224" i="58541" s="1"/>
  <c r="M220" i="58541"/>
  <c r="J220" i="58541"/>
  <c r="L220" i="58541" s="1"/>
  <c r="M253" i="58541"/>
  <c r="J253" i="58541"/>
  <c r="L253" i="58541" s="1"/>
  <c r="T84" i="58541"/>
  <c r="L93" i="58541"/>
  <c r="R74" i="58541"/>
  <c r="J215" i="58541"/>
  <c r="L215" i="58541" s="1"/>
  <c r="M215" i="58541"/>
  <c r="L88" i="58541"/>
  <c r="R69" i="58541"/>
  <c r="L91" i="58541"/>
  <c r="R72" i="58541"/>
  <c r="L97" i="58541"/>
  <c r="R78" i="58541"/>
  <c r="R87" i="58541"/>
  <c r="L106" i="58541"/>
  <c r="R80" i="58541"/>
  <c r="L99" i="58541"/>
  <c r="M240" i="58541"/>
  <c r="J240" i="58541"/>
  <c r="L240" i="58541" s="1"/>
  <c r="M248" i="58541"/>
  <c r="J248" i="58541"/>
  <c r="L248" i="58541" s="1"/>
  <c r="J242" i="58541"/>
  <c r="L242" i="58541" s="1"/>
  <c r="M242" i="58541"/>
  <c r="T69" i="58541"/>
  <c r="M231" i="58541"/>
  <c r="J231" i="58541"/>
  <c r="L231" i="58541" s="1"/>
  <c r="M218" i="58541"/>
  <c r="J218" i="58541"/>
  <c r="L218" i="58541" s="1"/>
  <c r="M226" i="58541"/>
  <c r="J226" i="58541"/>
  <c r="L226" i="58541" s="1"/>
  <c r="R88" i="58541"/>
  <c r="L107" i="58541"/>
  <c r="T62" i="58541"/>
  <c r="T68" i="58541"/>
  <c r="R62" i="58541"/>
  <c r="L81" i="58541"/>
  <c r="R65" i="58541"/>
  <c r="L84" i="58541"/>
  <c r="T73" i="58541"/>
  <c r="T79" i="58541"/>
  <c r="L104" i="58541"/>
  <c r="R85" i="58541"/>
  <c r="T81" i="58541"/>
  <c r="M245" i="58541"/>
  <c r="J245" i="58541"/>
  <c r="L245" i="58541" s="1"/>
  <c r="J207" i="58541"/>
  <c r="L207" i="58541" s="1"/>
  <c r="M207" i="58541"/>
  <c r="M249" i="58541"/>
  <c r="J249" i="58541"/>
  <c r="L249" i="58541" s="1"/>
  <c r="M227" i="58541"/>
  <c r="J227" i="58541"/>
  <c r="L227" i="58541" s="1"/>
  <c r="M225" i="58541"/>
  <c r="J225" i="58541"/>
  <c r="L225" i="58541" s="1"/>
  <c r="M234" i="58541"/>
  <c r="J234" i="58541"/>
  <c r="L234" i="58541" s="1"/>
  <c r="R79" i="58541"/>
  <c r="L98" i="58541"/>
  <c r="R67" i="58541"/>
  <c r="L86" i="58541"/>
  <c r="J229" i="58541"/>
  <c r="L229" i="58541" s="1"/>
  <c r="M229" i="58541"/>
  <c r="T70" i="58541"/>
  <c r="T66" i="58541"/>
  <c r="L94" i="58541"/>
  <c r="R75" i="58541"/>
  <c r="L85" i="58541"/>
  <c r="R66" i="58541"/>
  <c r="L92" i="58541"/>
  <c r="R73" i="58541"/>
  <c r="M250" i="58541"/>
  <c r="J250" i="58541"/>
  <c r="L250" i="58541" s="1"/>
  <c r="M232" i="58541"/>
  <c r="J232" i="58541"/>
  <c r="L232" i="58541" s="1"/>
  <c r="J233" i="58541"/>
  <c r="L233" i="58541" s="1"/>
  <c r="M233" i="58541"/>
  <c r="M208" i="58541"/>
  <c r="J208" i="58541"/>
  <c r="L208" i="58541" s="1"/>
  <c r="J243" i="58541"/>
  <c r="L243" i="58541" s="1"/>
  <c r="M243" i="58541"/>
  <c r="M228" i="58541"/>
  <c r="J228" i="58541"/>
  <c r="L228" i="58541" s="1"/>
  <c r="M210" i="58541"/>
  <c r="J210" i="58541"/>
  <c r="L210" i="58541" s="1"/>
  <c r="L110" i="58550"/>
  <c r="R91" i="58550"/>
  <c r="R150" i="58550"/>
  <c r="L205" i="58550"/>
  <c r="P205" i="58550" s="1"/>
  <c r="Q92" i="58550"/>
  <c r="J111" i="58550"/>
  <c r="M111" i="58550"/>
  <c r="L205" i="58553"/>
  <c r="P205" i="58553" s="1"/>
  <c r="R150" i="58553"/>
  <c r="H113" i="58550"/>
  <c r="K112" i="58550"/>
  <c r="S93" i="58550" s="1"/>
  <c r="I112" i="58550"/>
  <c r="P93" i="58550"/>
  <c r="L205" i="58541" l="1"/>
  <c r="P205" i="58541" s="1"/>
  <c r="R150" i="58541"/>
  <c r="H112" i="58541"/>
  <c r="K111" i="58541"/>
  <c r="S92" i="58541" s="1"/>
  <c r="I111" i="58541"/>
  <c r="P92" i="58541"/>
  <c r="T91" i="58541"/>
  <c r="R90" i="58541"/>
  <c r="L109" i="58541"/>
  <c r="T90" i="58541"/>
  <c r="J110" i="58541"/>
  <c r="Q91" i="58541"/>
  <c r="M110" i="58541"/>
  <c r="Q93" i="58550"/>
  <c r="J112" i="58550"/>
  <c r="M112" i="58550"/>
  <c r="H114" i="58550"/>
  <c r="K113" i="58550"/>
  <c r="S94" i="58550" s="1"/>
  <c r="I113" i="58550"/>
  <c r="P94" i="58550"/>
  <c r="L111" i="58550"/>
  <c r="R92" i="58550"/>
  <c r="T93" i="58550"/>
  <c r="T92" i="58550"/>
  <c r="J111" i="58541" l="1"/>
  <c r="Q92" i="58541"/>
  <c r="M111" i="58541"/>
  <c r="L110" i="58541"/>
  <c r="R91" i="58541"/>
  <c r="H113" i="58541"/>
  <c r="K112" i="58541"/>
  <c r="S93" i="58541" s="1"/>
  <c r="I112" i="58541"/>
  <c r="P93" i="58541"/>
  <c r="T92" i="58541"/>
  <c r="Q94" i="58550"/>
  <c r="M113" i="58550"/>
  <c r="J113" i="58550"/>
  <c r="R93" i="58550"/>
  <c r="L112" i="58550"/>
  <c r="T94" i="58550"/>
  <c r="H115" i="58550"/>
  <c r="K114" i="58550"/>
  <c r="S95" i="58550" s="1"/>
  <c r="I114" i="58550"/>
  <c r="P95" i="58550"/>
  <c r="Q93" i="58541" l="1"/>
  <c r="M112" i="58541"/>
  <c r="J112" i="58541"/>
  <c r="T93" i="58541"/>
  <c r="H114" i="58541"/>
  <c r="K113" i="58541"/>
  <c r="S94" i="58541" s="1"/>
  <c r="I113" i="58541"/>
  <c r="P94" i="58541"/>
  <c r="R92" i="58541"/>
  <c r="L111" i="58541"/>
  <c r="M114" i="58550"/>
  <c r="J114" i="58550"/>
  <c r="Q95" i="58550"/>
  <c r="L113" i="58550"/>
  <c r="R94" i="58550"/>
  <c r="H116" i="58550"/>
  <c r="K115" i="58550"/>
  <c r="S96" i="58550" s="1"/>
  <c r="I115" i="58550"/>
  <c r="P96" i="58550"/>
  <c r="T95" i="58550"/>
  <c r="M113" i="58541" l="1"/>
  <c r="Q94" i="58541"/>
  <c r="J113" i="58541"/>
  <c r="H115" i="58541"/>
  <c r="K114" i="58541"/>
  <c r="S95" i="58541" s="1"/>
  <c r="I114" i="58541"/>
  <c r="P95" i="58541"/>
  <c r="R93" i="58541"/>
  <c r="L112" i="58541"/>
  <c r="T94" i="58541"/>
  <c r="M115" i="58550"/>
  <c r="Q96" i="58550"/>
  <c r="J115" i="58550"/>
  <c r="T96" i="58550"/>
  <c r="R95" i="58550"/>
  <c r="L114" i="58550"/>
  <c r="H117" i="58550"/>
  <c r="K116" i="58550"/>
  <c r="S97" i="58550" s="1"/>
  <c r="I116" i="58550"/>
  <c r="P97" i="58550"/>
  <c r="J114" i="58541" l="1"/>
  <c r="Q95" i="58541"/>
  <c r="M114" i="58541"/>
  <c r="K115" i="58541"/>
  <c r="S96" i="58541" s="1"/>
  <c r="H116" i="58541"/>
  <c r="I115" i="58541"/>
  <c r="P96" i="58541"/>
  <c r="L113" i="58541"/>
  <c r="R94" i="58541"/>
  <c r="T95" i="58541"/>
  <c r="J116" i="58550"/>
  <c r="Q97" i="58550"/>
  <c r="M116" i="58550"/>
  <c r="R96" i="58550"/>
  <c r="L115" i="58550"/>
  <c r="H118" i="58550"/>
  <c r="K117" i="58550"/>
  <c r="S98" i="58550" s="1"/>
  <c r="I117" i="58550"/>
  <c r="P98" i="58550"/>
  <c r="M115" i="58541" l="1"/>
  <c r="Q96" i="58541"/>
  <c r="J115" i="58541"/>
  <c r="H117" i="58541"/>
  <c r="I116" i="58541"/>
  <c r="K116" i="58541"/>
  <c r="S97" i="58541" s="1"/>
  <c r="P97" i="58541"/>
  <c r="T96" i="58541"/>
  <c r="R95" i="58541"/>
  <c r="L114" i="58541"/>
  <c r="R97" i="58550"/>
  <c r="L116" i="58550"/>
  <c r="Q98" i="58550"/>
  <c r="J117" i="58550"/>
  <c r="M117" i="58550"/>
  <c r="H119" i="58550"/>
  <c r="K118" i="58550"/>
  <c r="S99" i="58550" s="1"/>
  <c r="I118" i="58550"/>
  <c r="P99" i="58550"/>
  <c r="T97" i="58550"/>
  <c r="Q97" i="58541" l="1"/>
  <c r="M116" i="58541"/>
  <c r="J116" i="58541"/>
  <c r="H118" i="58541"/>
  <c r="K117" i="58541"/>
  <c r="S98" i="58541" s="1"/>
  <c r="I117" i="58541"/>
  <c r="P98" i="58541"/>
  <c r="R96" i="58541"/>
  <c r="L115" i="58541"/>
  <c r="T97" i="58541"/>
  <c r="Q99" i="58550"/>
  <c r="M118" i="58550"/>
  <c r="J118" i="58550"/>
  <c r="R98" i="58550"/>
  <c r="L117" i="58550"/>
  <c r="H120" i="58550"/>
  <c r="K119" i="58550"/>
  <c r="S100" i="58550" s="1"/>
  <c r="I119" i="58550"/>
  <c r="P100" i="58550"/>
  <c r="T98" i="58550"/>
  <c r="M117" i="58541" l="1"/>
  <c r="Q98" i="58541"/>
  <c r="J117" i="58541"/>
  <c r="K118" i="58541"/>
  <c r="S99" i="58541" s="1"/>
  <c r="P99" i="58541"/>
  <c r="I118" i="58541"/>
  <c r="H119" i="58541"/>
  <c r="L116" i="58541"/>
  <c r="R97" i="58541"/>
  <c r="R99" i="58550"/>
  <c r="L118" i="58550"/>
  <c r="J119" i="58550"/>
  <c r="M119" i="58550"/>
  <c r="Q100" i="58550"/>
  <c r="T100" i="58550" s="1"/>
  <c r="H121" i="58550"/>
  <c r="K120" i="58550"/>
  <c r="S101" i="58550" s="1"/>
  <c r="I120" i="58550"/>
  <c r="P101" i="58550"/>
  <c r="T99" i="58550"/>
  <c r="Q99" i="58541" l="1"/>
  <c r="M118" i="58541"/>
  <c r="J118" i="58541"/>
  <c r="K119" i="58541"/>
  <c r="S100" i="58541" s="1"/>
  <c r="I119" i="58541"/>
  <c r="P100" i="58541"/>
  <c r="H120" i="58541"/>
  <c r="L117" i="58541"/>
  <c r="R98" i="58541"/>
  <c r="T98" i="58541"/>
  <c r="T99" i="58541"/>
  <c r="M120" i="58550"/>
  <c r="J120" i="58550"/>
  <c r="Q101" i="58550"/>
  <c r="R100" i="58550"/>
  <c r="L119" i="58550"/>
  <c r="H122" i="58550"/>
  <c r="K121" i="58550"/>
  <c r="S102" i="58550" s="1"/>
  <c r="I121" i="58550"/>
  <c r="P102" i="58550"/>
  <c r="H121" i="58541" l="1"/>
  <c r="K120" i="58541"/>
  <c r="S101" i="58541" s="1"/>
  <c r="I120" i="58541"/>
  <c r="P101" i="58541"/>
  <c r="L118" i="58541"/>
  <c r="R99" i="58541"/>
  <c r="Q100" i="58541"/>
  <c r="M119" i="58541"/>
  <c r="J119" i="58541"/>
  <c r="J121" i="58550"/>
  <c r="Q102" i="58550"/>
  <c r="M121" i="58550"/>
  <c r="T101" i="58550"/>
  <c r="R101" i="58550"/>
  <c r="L120" i="58550"/>
  <c r="H123" i="58550"/>
  <c r="K122" i="58550"/>
  <c r="S103" i="58550" s="1"/>
  <c r="I122" i="58550"/>
  <c r="P103" i="58550"/>
  <c r="Q101" i="58541" l="1"/>
  <c r="M120" i="58541"/>
  <c r="J120" i="58541"/>
  <c r="T101" i="58541"/>
  <c r="T100" i="58541"/>
  <c r="R100" i="58541"/>
  <c r="L119" i="58541"/>
  <c r="K121" i="58541"/>
  <c r="S102" i="58541" s="1"/>
  <c r="H122" i="58541"/>
  <c r="P102" i="58541"/>
  <c r="I121" i="58541"/>
  <c r="H124" i="58550"/>
  <c r="K123" i="58550"/>
  <c r="S104" i="58550" s="1"/>
  <c r="I123" i="58550"/>
  <c r="P104" i="58550"/>
  <c r="R102" i="58550"/>
  <c r="L121" i="58550"/>
  <c r="T102" i="58550"/>
  <c r="M122" i="58550"/>
  <c r="Q103" i="58550"/>
  <c r="J122" i="58550"/>
  <c r="R101" i="58541" l="1"/>
  <c r="L120" i="58541"/>
  <c r="Q102" i="58541"/>
  <c r="M121" i="58541"/>
  <c r="J121" i="58541"/>
  <c r="K122" i="58541"/>
  <c r="S103" i="58541" s="1"/>
  <c r="P103" i="58541"/>
  <c r="H123" i="58541"/>
  <c r="I122" i="58541"/>
  <c r="M123" i="58550"/>
  <c r="Q104" i="58550"/>
  <c r="J123" i="58550"/>
  <c r="H125" i="58550"/>
  <c r="K124" i="58550"/>
  <c r="S105" i="58550" s="1"/>
  <c r="I124" i="58550"/>
  <c r="P105" i="58550"/>
  <c r="L122" i="58550"/>
  <c r="R103" i="58550"/>
  <c r="T103" i="58550"/>
  <c r="P104" i="58541" l="1"/>
  <c r="H124" i="58541"/>
  <c r="K123" i="58541"/>
  <c r="S104" i="58541" s="1"/>
  <c r="I123" i="58541"/>
  <c r="L121" i="58541"/>
  <c r="R102" i="58541"/>
  <c r="T103" i="58541"/>
  <c r="T102" i="58541"/>
  <c r="J122" i="58541"/>
  <c r="Q103" i="58541"/>
  <c r="M122" i="58541"/>
  <c r="R104" i="58550"/>
  <c r="L123" i="58550"/>
  <c r="Q105" i="58550"/>
  <c r="T105" i="58550" s="1"/>
  <c r="J124" i="58550"/>
  <c r="M124" i="58550"/>
  <c r="T104" i="58550"/>
  <c r="H126" i="58550"/>
  <c r="K125" i="58550"/>
  <c r="S106" i="58550" s="1"/>
  <c r="I125" i="58550"/>
  <c r="P106" i="58550"/>
  <c r="J123" i="58541" l="1"/>
  <c r="M123" i="58541"/>
  <c r="Q104" i="58541"/>
  <c r="T104" i="58541"/>
  <c r="P105" i="58541"/>
  <c r="I124" i="58541"/>
  <c r="H125" i="58541"/>
  <c r="K124" i="58541"/>
  <c r="S105" i="58541" s="1"/>
  <c r="R103" i="58541"/>
  <c r="L122" i="58541"/>
  <c r="M125" i="58550"/>
  <c r="Q106" i="58550"/>
  <c r="J125" i="58550"/>
  <c r="H127" i="58550"/>
  <c r="K126" i="58550"/>
  <c r="S107" i="58550" s="1"/>
  <c r="I126" i="58550"/>
  <c r="P107" i="58550"/>
  <c r="R105" i="58550"/>
  <c r="L124" i="58550"/>
  <c r="Q105" i="58541" l="1"/>
  <c r="J124" i="58541"/>
  <c r="M124" i="58541"/>
  <c r="P106" i="58541"/>
  <c r="I125" i="58541"/>
  <c r="H126" i="58541"/>
  <c r="K125" i="58541"/>
  <c r="S106" i="58541" s="1"/>
  <c r="T105" i="58541"/>
  <c r="R104" i="58541"/>
  <c r="L123" i="58541"/>
  <c r="J126" i="58550"/>
  <c r="M126" i="58550"/>
  <c r="Q107" i="58550"/>
  <c r="L125" i="58550"/>
  <c r="R106" i="58550"/>
  <c r="T107" i="58550"/>
  <c r="H128" i="58550"/>
  <c r="K127" i="58550"/>
  <c r="S108" i="58550" s="1"/>
  <c r="I127" i="58550"/>
  <c r="P108" i="58550"/>
  <c r="T106" i="58550"/>
  <c r="Q106" i="58541" l="1"/>
  <c r="J125" i="58541"/>
  <c r="M125" i="58541"/>
  <c r="L124" i="58541"/>
  <c r="R105" i="58541"/>
  <c r="H127" i="58541"/>
  <c r="K126" i="58541"/>
  <c r="S107" i="58541" s="1"/>
  <c r="I126" i="58541"/>
  <c r="P107" i="58541"/>
  <c r="T106" i="58541"/>
  <c r="Q108" i="58550"/>
  <c r="T108" i="58550" s="1"/>
  <c r="M127" i="58550"/>
  <c r="J127" i="58550"/>
  <c r="H129" i="58550"/>
  <c r="K128" i="58550"/>
  <c r="S109" i="58550" s="1"/>
  <c r="I128" i="58550"/>
  <c r="P109" i="58550"/>
  <c r="R107" i="58550"/>
  <c r="L126" i="58550"/>
  <c r="P108" i="58541" l="1"/>
  <c r="K127" i="58541"/>
  <c r="S108" i="58541" s="1"/>
  <c r="H128" i="58541"/>
  <c r="I127" i="58541"/>
  <c r="Q107" i="58541"/>
  <c r="M126" i="58541"/>
  <c r="J126" i="58541"/>
  <c r="R106" i="58541"/>
  <c r="L125" i="58541"/>
  <c r="H130" i="58550"/>
  <c r="K129" i="58550"/>
  <c r="S110" i="58550" s="1"/>
  <c r="I129" i="58550"/>
  <c r="P110" i="58550"/>
  <c r="Q109" i="58550"/>
  <c r="M128" i="58550"/>
  <c r="J128" i="58550"/>
  <c r="L127" i="58550"/>
  <c r="R108" i="58550"/>
  <c r="R107" i="58541" l="1"/>
  <c r="L126" i="58541"/>
  <c r="Q108" i="58541"/>
  <c r="M127" i="58541"/>
  <c r="J127" i="58541"/>
  <c r="H129" i="58541"/>
  <c r="K128" i="58541"/>
  <c r="S109" i="58541" s="1"/>
  <c r="I128" i="58541"/>
  <c r="P109" i="58541"/>
  <c r="T107" i="58541"/>
  <c r="L128" i="58550"/>
  <c r="R109" i="58550"/>
  <c r="J129" i="58550"/>
  <c r="Q110" i="58550"/>
  <c r="T110" i="58550" s="1"/>
  <c r="M129" i="58550"/>
  <c r="T109" i="58550"/>
  <c r="H131" i="58550"/>
  <c r="K130" i="58550"/>
  <c r="S111" i="58550" s="1"/>
  <c r="I130" i="58550"/>
  <c r="P111" i="58550"/>
  <c r="J128" i="58541" l="1"/>
  <c r="M128" i="58541"/>
  <c r="Q109" i="58541"/>
  <c r="H130" i="58541"/>
  <c r="K129" i="58541"/>
  <c r="S110" i="58541" s="1"/>
  <c r="I129" i="58541"/>
  <c r="P110" i="58541"/>
  <c r="T108" i="58541"/>
  <c r="R108" i="58541"/>
  <c r="L127" i="58541"/>
  <c r="R110" i="58550"/>
  <c r="L129" i="58550"/>
  <c r="M130" i="58550"/>
  <c r="J130" i="58550"/>
  <c r="Q111" i="58550"/>
  <c r="H132" i="58550"/>
  <c r="K131" i="58550"/>
  <c r="S112" i="58550" s="1"/>
  <c r="I131" i="58550"/>
  <c r="P112" i="58550"/>
  <c r="H131" i="58541" l="1"/>
  <c r="K130" i="58541"/>
  <c r="S111" i="58541" s="1"/>
  <c r="I130" i="58541"/>
  <c r="P111" i="58541"/>
  <c r="L128" i="58541"/>
  <c r="R109" i="58541"/>
  <c r="Q110" i="58541"/>
  <c r="M129" i="58541"/>
  <c r="J129" i="58541"/>
  <c r="T109" i="58541"/>
  <c r="R111" i="58550"/>
  <c r="L130" i="58550"/>
  <c r="Q112" i="58550"/>
  <c r="M131" i="58550"/>
  <c r="J131" i="58550"/>
  <c r="H133" i="58550"/>
  <c r="K132" i="58550"/>
  <c r="S113" i="58550" s="1"/>
  <c r="I132" i="58550"/>
  <c r="P113" i="58550"/>
  <c r="T111" i="58550"/>
  <c r="Q111" i="58541" l="1"/>
  <c r="M130" i="58541"/>
  <c r="J130" i="58541"/>
  <c r="T110" i="58541"/>
  <c r="R110" i="58541"/>
  <c r="L129" i="58541"/>
  <c r="P112" i="58541"/>
  <c r="K131" i="58541"/>
  <c r="S112" i="58541" s="1"/>
  <c r="H132" i="58541"/>
  <c r="I131" i="58541"/>
  <c r="L131" i="58550"/>
  <c r="R112" i="58550"/>
  <c r="M132" i="58550"/>
  <c r="Q113" i="58550"/>
  <c r="J132" i="58550"/>
  <c r="T113" i="58550"/>
  <c r="H134" i="58550"/>
  <c r="K133" i="58550"/>
  <c r="S114" i="58550" s="1"/>
  <c r="I133" i="58550"/>
  <c r="P114" i="58550"/>
  <c r="T112" i="58550"/>
  <c r="L130" i="58541" l="1"/>
  <c r="R111" i="58541"/>
  <c r="M131" i="58541"/>
  <c r="J131" i="58541"/>
  <c r="Q112" i="58541"/>
  <c r="H133" i="58541"/>
  <c r="P113" i="58541"/>
  <c r="I132" i="58541"/>
  <c r="K132" i="58541"/>
  <c r="S113" i="58541" s="1"/>
  <c r="T111" i="58541"/>
  <c r="H135" i="58550"/>
  <c r="K134" i="58550"/>
  <c r="S115" i="58550" s="1"/>
  <c r="I134" i="58550"/>
  <c r="P115" i="58550"/>
  <c r="R113" i="58550"/>
  <c r="L132" i="58550"/>
  <c r="Q114" i="58550"/>
  <c r="T114" i="58550" s="1"/>
  <c r="J133" i="58550"/>
  <c r="M133" i="58550"/>
  <c r="Q113" i="58541" l="1"/>
  <c r="M132" i="58541"/>
  <c r="J132" i="58541"/>
  <c r="L131" i="58541"/>
  <c r="R112" i="58541"/>
  <c r="T113" i="58541"/>
  <c r="K133" i="58541"/>
  <c r="S114" i="58541" s="1"/>
  <c r="I133" i="58541"/>
  <c r="H134" i="58541"/>
  <c r="P114" i="58541"/>
  <c r="T112" i="58541"/>
  <c r="J134" i="58550"/>
  <c r="Q115" i="58550"/>
  <c r="T115" i="58550" s="1"/>
  <c r="M134" i="58550"/>
  <c r="L133" i="58550"/>
  <c r="R114" i="58550"/>
  <c r="H136" i="58550"/>
  <c r="K135" i="58550"/>
  <c r="S116" i="58550" s="1"/>
  <c r="I135" i="58550"/>
  <c r="P116" i="58550"/>
  <c r="J133" i="58541" l="1"/>
  <c r="M133" i="58541"/>
  <c r="Q114" i="58541"/>
  <c r="R113" i="58541"/>
  <c r="L132" i="58541"/>
  <c r="H135" i="58541"/>
  <c r="I134" i="58541"/>
  <c r="K134" i="58541"/>
  <c r="S115" i="58541" s="1"/>
  <c r="P115" i="58541"/>
  <c r="Q116" i="58550"/>
  <c r="M135" i="58550"/>
  <c r="J135" i="58550"/>
  <c r="H137" i="58550"/>
  <c r="K136" i="58550"/>
  <c r="S117" i="58550" s="1"/>
  <c r="I136" i="58550"/>
  <c r="P117" i="58550"/>
  <c r="L134" i="58550"/>
  <c r="R115" i="58550"/>
  <c r="T114" i="58541" l="1"/>
  <c r="Q115" i="58541"/>
  <c r="M134" i="58541"/>
  <c r="J134" i="58541"/>
  <c r="H136" i="58541"/>
  <c r="K135" i="58541"/>
  <c r="S116" i="58541" s="1"/>
  <c r="I135" i="58541"/>
  <c r="P116" i="58541"/>
  <c r="L133" i="58541"/>
  <c r="R114" i="58541"/>
  <c r="R116" i="58550"/>
  <c r="L135" i="58550"/>
  <c r="M136" i="58550"/>
  <c r="Q117" i="58550"/>
  <c r="J136" i="58550"/>
  <c r="H138" i="58550"/>
  <c r="K137" i="58550"/>
  <c r="S118" i="58550" s="1"/>
  <c r="I137" i="58550"/>
  <c r="P118" i="58550"/>
  <c r="T116" i="58550"/>
  <c r="M135" i="58541" l="1"/>
  <c r="Q116" i="58541"/>
  <c r="J135" i="58541"/>
  <c r="L134" i="58541"/>
  <c r="R115" i="58541"/>
  <c r="T116" i="58541"/>
  <c r="I136" i="58541"/>
  <c r="H137" i="58541"/>
  <c r="K136" i="58541"/>
  <c r="S117" i="58541" s="1"/>
  <c r="P117" i="58541"/>
  <c r="T115" i="58541"/>
  <c r="T117" i="58550"/>
  <c r="H139" i="58550"/>
  <c r="K138" i="58550"/>
  <c r="S119" i="58550" s="1"/>
  <c r="I138" i="58550"/>
  <c r="P119" i="58550"/>
  <c r="J137" i="58550"/>
  <c r="Q118" i="58550"/>
  <c r="M137" i="58550"/>
  <c r="R117" i="58550"/>
  <c r="L136" i="58550"/>
  <c r="J136" i="58541" l="1"/>
  <c r="Q117" i="58541"/>
  <c r="T117" i="58541" s="1"/>
  <c r="M136" i="58541"/>
  <c r="L135" i="58541"/>
  <c r="R116" i="58541"/>
  <c r="H138" i="58541"/>
  <c r="P118" i="58541"/>
  <c r="K137" i="58541"/>
  <c r="S118" i="58541" s="1"/>
  <c r="I137" i="58541"/>
  <c r="H140" i="58550"/>
  <c r="K139" i="58550"/>
  <c r="S120" i="58550" s="1"/>
  <c r="I139" i="58550"/>
  <c r="P120" i="58550"/>
  <c r="R118" i="58550"/>
  <c r="L137" i="58550"/>
  <c r="T119" i="58550"/>
  <c r="Q119" i="58550"/>
  <c r="M138" i="58550"/>
  <c r="J138" i="58550"/>
  <c r="T118" i="58550"/>
  <c r="I138" i="58541" l="1"/>
  <c r="P119" i="58541"/>
  <c r="H139" i="58541"/>
  <c r="K138" i="58541"/>
  <c r="S119" i="58541" s="1"/>
  <c r="Q118" i="58541"/>
  <c r="M137" i="58541"/>
  <c r="J137" i="58541"/>
  <c r="R117" i="58541"/>
  <c r="L136" i="58541"/>
  <c r="M139" i="58550"/>
  <c r="Q120" i="58550"/>
  <c r="J139" i="58550"/>
  <c r="H141" i="58550"/>
  <c r="K140" i="58550"/>
  <c r="S121" i="58550" s="1"/>
  <c r="I140" i="58550"/>
  <c r="P121" i="58550"/>
  <c r="R119" i="58550"/>
  <c r="L138" i="58550"/>
  <c r="T120" i="58550"/>
  <c r="T118" i="58541" l="1"/>
  <c r="T119" i="58541"/>
  <c r="H140" i="58541"/>
  <c r="K139" i="58541"/>
  <c r="S120" i="58541" s="1"/>
  <c r="I139" i="58541"/>
  <c r="P120" i="58541"/>
  <c r="L137" i="58541"/>
  <c r="R118" i="58541"/>
  <c r="Q119" i="58541"/>
  <c r="M138" i="58541"/>
  <c r="J138" i="58541"/>
  <c r="H142" i="58550"/>
  <c r="K141" i="58550"/>
  <c r="S122" i="58550" s="1"/>
  <c r="I141" i="58550"/>
  <c r="P122" i="58550"/>
  <c r="L139" i="58550"/>
  <c r="R120" i="58550"/>
  <c r="Q121" i="58550"/>
  <c r="J140" i="58550"/>
  <c r="M140" i="58550"/>
  <c r="I140" i="58541" l="1"/>
  <c r="H141" i="58541"/>
  <c r="P121" i="58541"/>
  <c r="K140" i="58541"/>
  <c r="S121" i="58541" s="1"/>
  <c r="Q120" i="58541"/>
  <c r="M139" i="58541"/>
  <c r="J139" i="58541"/>
  <c r="R119" i="58541"/>
  <c r="L138" i="58541"/>
  <c r="R121" i="58550"/>
  <c r="L140" i="58550"/>
  <c r="J141" i="58550"/>
  <c r="Q122" i="58550"/>
  <c r="M141" i="58550"/>
  <c r="T121" i="58550"/>
  <c r="H143" i="58550"/>
  <c r="K142" i="58550"/>
  <c r="S123" i="58550" s="1"/>
  <c r="I142" i="58550"/>
  <c r="P123" i="58550"/>
  <c r="R120" i="58541" l="1"/>
  <c r="L139" i="58541"/>
  <c r="T120" i="58541"/>
  <c r="K141" i="58541"/>
  <c r="S122" i="58541" s="1"/>
  <c r="H142" i="58541"/>
  <c r="I141" i="58541"/>
  <c r="P122" i="58541"/>
  <c r="J140" i="58541"/>
  <c r="Q121" i="58541"/>
  <c r="M140" i="58541"/>
  <c r="J142" i="58550"/>
  <c r="Q123" i="58550"/>
  <c r="M142" i="58550"/>
  <c r="T122" i="58550"/>
  <c r="L141" i="58550"/>
  <c r="R122" i="58550"/>
  <c r="H144" i="58550"/>
  <c r="K143" i="58550"/>
  <c r="S124" i="58550" s="1"/>
  <c r="I143" i="58550"/>
  <c r="P124" i="58550"/>
  <c r="M141" i="58541" l="1"/>
  <c r="Q122" i="58541"/>
  <c r="J141" i="58541"/>
  <c r="P123" i="58541"/>
  <c r="H143" i="58541"/>
  <c r="I142" i="58541"/>
  <c r="K142" i="58541"/>
  <c r="S123" i="58541" s="1"/>
  <c r="R121" i="58541"/>
  <c r="L140" i="58541"/>
  <c r="T121" i="58541"/>
  <c r="R123" i="58550"/>
  <c r="L142" i="58550"/>
  <c r="H145" i="58550"/>
  <c r="K144" i="58550"/>
  <c r="S125" i="58550" s="1"/>
  <c r="I144" i="58550"/>
  <c r="P125" i="58550"/>
  <c r="Q124" i="58550"/>
  <c r="J143" i="58550"/>
  <c r="M143" i="58550"/>
  <c r="T123" i="58550"/>
  <c r="R122" i="58541" l="1"/>
  <c r="L141" i="58541"/>
  <c r="J142" i="58541"/>
  <c r="M142" i="58541"/>
  <c r="Q123" i="58541"/>
  <c r="P124" i="58541"/>
  <c r="K143" i="58541"/>
  <c r="S124" i="58541" s="1"/>
  <c r="I143" i="58541"/>
  <c r="H144" i="58541"/>
  <c r="T122" i="58541"/>
  <c r="J144" i="58550"/>
  <c r="M144" i="58550"/>
  <c r="Q125" i="58550"/>
  <c r="T125" i="58550" s="1"/>
  <c r="L143" i="58550"/>
  <c r="R124" i="58550"/>
  <c r="H146" i="58550"/>
  <c r="K145" i="58550"/>
  <c r="S126" i="58550" s="1"/>
  <c r="I145" i="58550"/>
  <c r="P126" i="58550"/>
  <c r="T124" i="58550"/>
  <c r="L142" i="58541" l="1"/>
  <c r="R123" i="58541"/>
  <c r="T124" i="58541"/>
  <c r="T123" i="58541"/>
  <c r="H145" i="58541"/>
  <c r="K144" i="58541"/>
  <c r="S125" i="58541" s="1"/>
  <c r="I144" i="58541"/>
  <c r="P125" i="58541"/>
  <c r="M143" i="58541"/>
  <c r="Q124" i="58541"/>
  <c r="J143" i="58541"/>
  <c r="H147" i="58550"/>
  <c r="K146" i="58550"/>
  <c r="S127" i="58550" s="1"/>
  <c r="I146" i="58550"/>
  <c r="P127" i="58550"/>
  <c r="Q126" i="58550"/>
  <c r="T126" i="58550" s="1"/>
  <c r="J145" i="58550"/>
  <c r="M145" i="58550"/>
  <c r="L144" i="58550"/>
  <c r="R125" i="58550"/>
  <c r="J144" i="58541" l="1"/>
  <c r="Q125" i="58541"/>
  <c r="M144" i="58541"/>
  <c r="K145" i="58541"/>
  <c r="S126" i="58541" s="1"/>
  <c r="P126" i="58541"/>
  <c r="H146" i="58541"/>
  <c r="I145" i="58541"/>
  <c r="T125" i="58541"/>
  <c r="R124" i="58541"/>
  <c r="L143" i="58541"/>
  <c r="L145" i="58550"/>
  <c r="R126" i="58550"/>
  <c r="T127" i="58550"/>
  <c r="J146" i="58550"/>
  <c r="Q127" i="58550"/>
  <c r="M146" i="58550"/>
  <c r="H148" i="58550"/>
  <c r="K147" i="58550"/>
  <c r="S128" i="58550" s="1"/>
  <c r="I147" i="58550"/>
  <c r="P128" i="58550"/>
  <c r="K146" i="58541" l="1"/>
  <c r="S127" i="58541" s="1"/>
  <c r="H147" i="58541"/>
  <c r="I146" i="58541"/>
  <c r="P127" i="58541"/>
  <c r="Q126" i="58541"/>
  <c r="J145" i="58541"/>
  <c r="M145" i="58541"/>
  <c r="R125" i="58541"/>
  <c r="L144" i="58541"/>
  <c r="H149" i="58550"/>
  <c r="K148" i="58550"/>
  <c r="S129" i="58550" s="1"/>
  <c r="I148" i="58550"/>
  <c r="P129" i="58550"/>
  <c r="J147" i="58550"/>
  <c r="M147" i="58550"/>
  <c r="Q128" i="58550"/>
  <c r="L146" i="58550"/>
  <c r="R127" i="58550"/>
  <c r="J146" i="58541" l="1"/>
  <c r="Q127" i="58541"/>
  <c r="T127" i="58541" s="1"/>
  <c r="M146" i="58541"/>
  <c r="K147" i="58541"/>
  <c r="S128" i="58541" s="1"/>
  <c r="I147" i="58541"/>
  <c r="P128" i="58541"/>
  <c r="H148" i="58541"/>
  <c r="R126" i="58541"/>
  <c r="L145" i="58541"/>
  <c r="T126" i="58541"/>
  <c r="J148" i="58550"/>
  <c r="M148" i="58550"/>
  <c r="Q129" i="58550"/>
  <c r="T129" i="58550"/>
  <c r="R128" i="58550"/>
  <c r="L147" i="58550"/>
  <c r="T128" i="58550"/>
  <c r="H150" i="58550"/>
  <c r="K149" i="58550"/>
  <c r="S130" i="58550" s="1"/>
  <c r="I149" i="58550"/>
  <c r="P130" i="58550"/>
  <c r="H149" i="58541" l="1"/>
  <c r="P129" i="58541"/>
  <c r="K148" i="58541"/>
  <c r="S129" i="58541" s="1"/>
  <c r="I148" i="58541"/>
  <c r="J147" i="58541"/>
  <c r="Q128" i="58541"/>
  <c r="M147" i="58541"/>
  <c r="L146" i="58541"/>
  <c r="R127" i="58541"/>
  <c r="H151" i="58550"/>
  <c r="K150" i="58550"/>
  <c r="S131" i="58550" s="1"/>
  <c r="I150" i="58550"/>
  <c r="P131" i="58550"/>
  <c r="Q130" i="58550"/>
  <c r="J149" i="58550"/>
  <c r="M149" i="58550"/>
  <c r="R129" i="58550"/>
  <c r="L148" i="58550"/>
  <c r="R128" i="58541" l="1"/>
  <c r="L147" i="58541"/>
  <c r="J148" i="58541"/>
  <c r="M148" i="58541"/>
  <c r="Q129" i="58541"/>
  <c r="T128" i="58541"/>
  <c r="T129" i="58541"/>
  <c r="P130" i="58541"/>
  <c r="H150" i="58541"/>
  <c r="I149" i="58541"/>
  <c r="K149" i="58541"/>
  <c r="S130" i="58541" s="1"/>
  <c r="L149" i="58550"/>
  <c r="R130" i="58550"/>
  <c r="Q131" i="58550"/>
  <c r="J150" i="58550"/>
  <c r="M150" i="58550"/>
  <c r="H152" i="58550"/>
  <c r="K151" i="58550"/>
  <c r="S132" i="58550" s="1"/>
  <c r="I151" i="58550"/>
  <c r="P132" i="58550"/>
  <c r="T130" i="58550"/>
  <c r="L148" i="58541" l="1"/>
  <c r="R129" i="58541"/>
  <c r="M149" i="58541"/>
  <c r="J149" i="58541"/>
  <c r="Q130" i="58541"/>
  <c r="H151" i="58541"/>
  <c r="P131" i="58541"/>
  <c r="K150" i="58541"/>
  <c r="S131" i="58541" s="1"/>
  <c r="I150" i="58541"/>
  <c r="T131" i="58550"/>
  <c r="H153" i="58550"/>
  <c r="K152" i="58550"/>
  <c r="S133" i="58550" s="1"/>
  <c r="I152" i="58550"/>
  <c r="P133" i="58550"/>
  <c r="R131" i="58550"/>
  <c r="L150" i="58550"/>
  <c r="Q132" i="58550"/>
  <c r="J151" i="58550"/>
  <c r="M151" i="58550"/>
  <c r="R130" i="58541" l="1"/>
  <c r="L149" i="58541"/>
  <c r="H152" i="58541"/>
  <c r="K151" i="58541"/>
  <c r="S132" i="58541" s="1"/>
  <c r="P132" i="58541"/>
  <c r="I151" i="58541"/>
  <c r="T130" i="58541"/>
  <c r="T131" i="58541"/>
  <c r="Q131" i="58541"/>
  <c r="M150" i="58541"/>
  <c r="J150" i="58541"/>
  <c r="J152" i="58550"/>
  <c r="M152" i="58550"/>
  <c r="Q133" i="58550"/>
  <c r="T133" i="58550" s="1"/>
  <c r="H154" i="58550"/>
  <c r="K153" i="58550"/>
  <c r="S134" i="58550" s="1"/>
  <c r="I153" i="58550"/>
  <c r="P134" i="58550"/>
  <c r="L151" i="58550"/>
  <c r="R132" i="58550"/>
  <c r="T132" i="58550"/>
  <c r="M151" i="58541" l="1"/>
  <c r="Q132" i="58541"/>
  <c r="J151" i="58541"/>
  <c r="R131" i="58541"/>
  <c r="L150" i="58541"/>
  <c r="P133" i="58541"/>
  <c r="H153" i="58541"/>
  <c r="I152" i="58541"/>
  <c r="K152" i="58541"/>
  <c r="S133" i="58541" s="1"/>
  <c r="T132" i="58541"/>
  <c r="J153" i="58550"/>
  <c r="Q134" i="58550"/>
  <c r="T134" i="58550" s="1"/>
  <c r="M153" i="58550"/>
  <c r="H155" i="58550"/>
  <c r="K154" i="58550"/>
  <c r="S135" i="58550" s="1"/>
  <c r="I154" i="58550"/>
  <c r="P135" i="58550"/>
  <c r="R133" i="58550"/>
  <c r="L152" i="58550"/>
  <c r="I153" i="58541" l="1"/>
  <c r="P134" i="58541"/>
  <c r="K153" i="58541"/>
  <c r="S134" i="58541" s="1"/>
  <c r="H154" i="58541"/>
  <c r="L151" i="58541"/>
  <c r="R132" i="58541"/>
  <c r="T133" i="58541"/>
  <c r="M152" i="58541"/>
  <c r="J152" i="58541"/>
  <c r="Q133" i="58541"/>
  <c r="H156" i="58550"/>
  <c r="K155" i="58550"/>
  <c r="S136" i="58550" s="1"/>
  <c r="I155" i="58550"/>
  <c r="P136" i="58550"/>
  <c r="J154" i="58550"/>
  <c r="M154" i="58550"/>
  <c r="Q135" i="58550"/>
  <c r="L153" i="58550"/>
  <c r="R134" i="58550"/>
  <c r="K154" i="58541" l="1"/>
  <c r="S135" i="58541" s="1"/>
  <c r="H155" i="58541"/>
  <c r="I154" i="58541"/>
  <c r="P135" i="58541"/>
  <c r="R133" i="58541"/>
  <c r="L152" i="58541"/>
  <c r="Q134" i="58541"/>
  <c r="J153" i="58541"/>
  <c r="M153" i="58541"/>
  <c r="R135" i="58550"/>
  <c r="L154" i="58550"/>
  <c r="T135" i="58550"/>
  <c r="Q136" i="58550"/>
  <c r="J155" i="58550"/>
  <c r="M155" i="58550"/>
  <c r="K156" i="58550"/>
  <c r="S137" i="58550" s="1"/>
  <c r="I156" i="58550"/>
  <c r="P137" i="58550"/>
  <c r="T134" i="58541" l="1"/>
  <c r="L153" i="58541"/>
  <c r="R134" i="58541"/>
  <c r="M154" i="58541"/>
  <c r="Q135" i="58541"/>
  <c r="J154" i="58541"/>
  <c r="I155" i="58541"/>
  <c r="H156" i="58541"/>
  <c r="K155" i="58541"/>
  <c r="S136" i="58541" s="1"/>
  <c r="P136" i="58541"/>
  <c r="L155" i="58550"/>
  <c r="R136" i="58550"/>
  <c r="J156" i="58550"/>
  <c r="Q137" i="58550"/>
  <c r="T137" i="58550" s="1"/>
  <c r="M156" i="58550"/>
  <c r="T136" i="58550"/>
  <c r="M155" i="58541" l="1"/>
  <c r="Q136" i="58541"/>
  <c r="J155" i="58541"/>
  <c r="T136" i="58541"/>
  <c r="R135" i="58541"/>
  <c r="L154" i="58541"/>
  <c r="T135" i="58541"/>
  <c r="T139" i="58550"/>
  <c r="K156" i="58541"/>
  <c r="S137" i="58541" s="1"/>
  <c r="I156" i="58541"/>
  <c r="P137" i="58541"/>
  <c r="L156" i="58550"/>
  <c r="R137" i="58550"/>
  <c r="R136" i="58541" l="1"/>
  <c r="L155" i="58541"/>
  <c r="Q137" i="58541"/>
  <c r="M156" i="58541"/>
  <c r="J156" i="58541"/>
  <c r="T137" i="58541"/>
  <c r="T139" i="58541"/>
  <c r="L156" i="58541" l="1"/>
  <c r="R137" i="58541"/>
</calcChain>
</file>

<file path=xl/sharedStrings.xml><?xml version="1.0" encoding="utf-8"?>
<sst xmlns="http://schemas.openxmlformats.org/spreadsheetml/2006/main" count="5936" uniqueCount="1317">
  <si>
    <r>
      <t xml:space="preserve">from correlation of sparks between </t>
    </r>
    <r>
      <rPr>
        <sz val="10"/>
        <color indexed="10"/>
        <rFont val="Arial"/>
        <family val="2"/>
      </rPr>
      <t>needle points</t>
    </r>
  </si>
  <si>
    <t>0.84d</t>
  </si>
  <si>
    <t>0.67d</t>
  </si>
  <si>
    <t>0.945d</t>
  </si>
  <si>
    <t>0.5d</t>
  </si>
  <si>
    <t>Höhe</t>
  </si>
  <si>
    <t>Blechdicke s =</t>
  </si>
  <si>
    <t>Block-</t>
  </si>
  <si>
    <t>Anzahl</t>
  </si>
  <si>
    <t>Blech</t>
  </si>
  <si>
    <t>Afe</t>
  </si>
  <si>
    <t>Afe total =</t>
  </si>
  <si>
    <t>AKreis =</t>
  </si>
  <si>
    <t>corr.</t>
  </si>
  <si>
    <t xml:space="preserve"> Afe/AKreis =</t>
  </si>
  <si>
    <t>Ausnützung =</t>
  </si>
  <si>
    <t xml:space="preserve"> Max !</t>
  </si>
  <si>
    <t>Berechnung für 5 Blechbreiten</t>
  </si>
  <si>
    <t>Berechnung für 4 Blechbreiten</t>
  </si>
  <si>
    <t>Gewinn vs. 4 Blechbreiten</t>
  </si>
  <si>
    <t>Berechnung für 3 Blechbreiten</t>
  </si>
  <si>
    <t>Kreisdurchmesser d =</t>
  </si>
  <si>
    <t>Gewinn vs. 3 Blechbreiten</t>
  </si>
  <si>
    <t>gemäss</t>
  </si>
  <si>
    <t>Skizze</t>
  </si>
  <si>
    <t>Start-</t>
  </si>
  <si>
    <t>Param.</t>
  </si>
  <si>
    <t>Berechnung der optimalen Ausnützung eines Kreisquerschitts für verschiedene Anzahl Blechbreiten</t>
  </si>
  <si>
    <t>Total Anzahl</t>
  </si>
  <si>
    <t>Total Fläche</t>
  </si>
  <si>
    <t>Total Gewicht</t>
  </si>
  <si>
    <t>m^2</t>
  </si>
  <si>
    <t>g/cm^3</t>
  </si>
  <si>
    <t>Blechdichte=</t>
  </si>
  <si>
    <t>h=0.327d</t>
  </si>
  <si>
    <t>4 Blechbreiten</t>
  </si>
  <si>
    <t>(Startparameter)</t>
  </si>
  <si>
    <t>h=0.0618d</t>
  </si>
  <si>
    <t>h=0.0999d</t>
  </si>
  <si>
    <t>h=0.1078d</t>
  </si>
  <si>
    <t>Fertigung:</t>
  </si>
  <si>
    <t>Berechnung für 6 Blechbreiten</t>
  </si>
  <si>
    <t>Faktor</t>
  </si>
  <si>
    <r>
      <t xml:space="preserve">Kreis </t>
    </r>
    <r>
      <rPr>
        <sz val="8"/>
        <rFont val="Symbol"/>
        <family val="1"/>
        <charset val="2"/>
      </rPr>
      <t>f</t>
    </r>
    <r>
      <rPr>
        <sz val="8"/>
        <rFont val="Arial"/>
        <family val="2"/>
      </rPr>
      <t xml:space="preserve">   x</t>
    </r>
  </si>
  <si>
    <t>Breiten-</t>
  </si>
  <si>
    <r>
      <t xml:space="preserve">x </t>
    </r>
    <r>
      <rPr>
        <sz val="8"/>
        <rFont val="Symbol"/>
        <family val="1"/>
        <charset val="2"/>
      </rPr>
      <t>f</t>
    </r>
  </si>
  <si>
    <t>Gewinn vs. 5 Blechbreiten</t>
  </si>
  <si>
    <t>Andere</t>
  </si>
  <si>
    <t>Lösungs</t>
  </si>
  <si>
    <t>5.) Magnetic length of iron core = geometrical length less one diameter</t>
  </si>
  <si>
    <t>From TableCurve2D program</t>
  </si>
  <si>
    <t>Mass of iron needed</t>
  </si>
  <si>
    <t>mass of iron needed</t>
  </si>
  <si>
    <t>diameter of iron core</t>
  </si>
  <si>
    <t>physical length</t>
  </si>
  <si>
    <t>bulk cross-section area</t>
  </si>
  <si>
    <t>magnetic length</t>
  </si>
  <si>
    <t>core insulating tube:</t>
  </si>
  <si>
    <t>wall thickness</t>
  </si>
  <si>
    <t>Iron Core</t>
  </si>
  <si>
    <t>bare wire diameter</t>
  </si>
  <si>
    <t>number of primary turns total</t>
  </si>
  <si>
    <t>wire cross section</t>
  </si>
  <si>
    <t>approx.</t>
  </si>
  <si>
    <t>the WINDING</t>
  </si>
  <si>
    <r>
      <t xml:space="preserve">the IRON   </t>
    </r>
    <r>
      <rPr>
        <sz val="10"/>
        <rFont val="Arial"/>
        <family val="2"/>
      </rPr>
      <t>(see also sheet "Kern" for details)</t>
    </r>
  </si>
  <si>
    <t>winding length</t>
  </si>
  <si>
    <r>
      <t>S</t>
    </r>
    <r>
      <rPr>
        <sz val="10"/>
        <rFont val="Arial"/>
        <family val="2"/>
      </rPr>
      <t xml:space="preserve"> of insulation sheets</t>
    </r>
  </si>
  <si>
    <t>outer diameter of winding</t>
  </si>
  <si>
    <t>tube-inner diameter</t>
  </si>
  <si>
    <t>tube-outer diameter</t>
  </si>
  <si>
    <t>Secondary</t>
  </si>
  <si>
    <t>radial depth of winding</t>
  </si>
  <si>
    <r>
      <t>S</t>
    </r>
    <r>
      <rPr>
        <sz val="10"/>
        <rFont val="Arial"/>
        <family val="2"/>
      </rPr>
      <t xml:space="preserve"> of insulation sheets between layers</t>
    </r>
  </si>
  <si>
    <t>---&gt; radial depth</t>
  </si>
  <si>
    <t>radial depth of insulating tube as from experience in HV insulation</t>
  </si>
  <si>
    <t>primary insulating tube:</t>
  </si>
  <si>
    <t>number of turns total</t>
  </si>
  <si>
    <t>inner diameter of winding</t>
  </si>
  <si>
    <t>the WINDING (rectangular or trapezoidal)</t>
  </si>
  <si>
    <t>turns outermost layer</t>
  </si>
  <si>
    <t>turns innermost layer</t>
  </si>
  <si>
    <t>turns intermed. layer</t>
  </si>
  <si>
    <t>turns decrease /layer</t>
  </si>
  <si>
    <t>outer winding length</t>
  </si>
  <si>
    <t>inner winding length</t>
  </si>
  <si>
    <t>inter. winding length</t>
  </si>
  <si>
    <t>insulation btwn.layers</t>
  </si>
  <si>
    <t>length decr. per layer</t>
  </si>
  <si>
    <t>bare wire cross section</t>
  </si>
  <si>
    <t>the LAYERS</t>
  </si>
  <si>
    <t>void between layers</t>
  </si>
  <si>
    <t>outer diameter of primary winding</t>
  </si>
  <si>
    <t>copperweight of primary</t>
  </si>
  <si>
    <t>lbs</t>
  </si>
  <si>
    <t>Results Summary: Mechanical Data</t>
  </si>
  <si>
    <t>net  cross-section area (iron)</t>
  </si>
  <si>
    <t>winding cross section</t>
  </si>
  <si>
    <t>copper cross section</t>
  </si>
  <si>
    <t>copper fill factor</t>
  </si>
  <si>
    <t>mm2</t>
  </si>
  <si>
    <r>
      <t>S</t>
    </r>
    <r>
      <rPr>
        <sz val="10"/>
        <rFont val="Arial"/>
        <family val="2"/>
      </rPr>
      <t xml:space="preserve"> of insulation sheets + voids</t>
    </r>
  </si>
  <si>
    <t>radial depth of winding (wires)</t>
  </si>
  <si>
    <t>radial depth of winding (total)</t>
  </si>
  <si>
    <t>mm/layer</t>
  </si>
  <si>
    <t>Results Summary: Electrical Data</t>
  </si>
  <si>
    <r>
      <t xml:space="preserve">magnetic flux        </t>
    </r>
    <r>
      <rPr>
        <sz val="10"/>
        <rFont val="Symbol"/>
        <family val="1"/>
        <charset val="2"/>
      </rPr>
      <t>F</t>
    </r>
  </si>
  <si>
    <t>mag. flux density   B</t>
  </si>
  <si>
    <t>output power (to spark)</t>
  </si>
  <si>
    <t>input power (to primary)</t>
  </si>
  <si>
    <t xml:space="preserve"> Iron Core</t>
  </si>
  <si>
    <t>General</t>
  </si>
  <si>
    <t>DC resistance primary winding</t>
  </si>
  <si>
    <r>
      <t xml:space="preserve">specific resistance of copper at 20C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= 0.01786 Ohm mm2/m</t>
    </r>
  </si>
  <si>
    <t>inductance, adj. to</t>
  </si>
  <si>
    <t>over winding area!</t>
  </si>
  <si>
    <t xml:space="preserve">  &lt;---- current equally distributed</t>
  </si>
  <si>
    <t xml:space="preserve">  &lt;---- current when spark is ON,   - don't enter to FEMM !</t>
  </si>
  <si>
    <t>&lt;-- integral over secondary volume</t>
  </si>
  <si>
    <t>primary winding DC resistance</t>
  </si>
  <si>
    <t>A/mm2</t>
  </si>
  <si>
    <t>spark length</t>
  </si>
  <si>
    <t>spark voltage by  AIEE</t>
  </si>
  <si>
    <t>secondary current</t>
  </si>
  <si>
    <t xml:space="preserve">efficiency (30%...60%max) </t>
  </si>
  <si>
    <t>primary supply voltage E</t>
  </si>
  <si>
    <t>frequency of interruptions f</t>
  </si>
  <si>
    <t xml:space="preserve">primary current   i </t>
  </si>
  <si>
    <t>current density in primary wire</t>
  </si>
  <si>
    <r>
      <t xml:space="preserve">time constant </t>
    </r>
    <r>
      <rPr>
        <sz val="10"/>
        <rFont val="Symbol"/>
        <family val="1"/>
        <charset val="2"/>
      </rPr>
      <t>t</t>
    </r>
    <r>
      <rPr>
        <sz val="10"/>
        <rFont val="Arial"/>
        <family val="2"/>
      </rPr>
      <t xml:space="preserve"> = L/R</t>
    </r>
  </si>
  <si>
    <t>msec</t>
  </si>
  <si>
    <r>
      <t>S</t>
    </r>
    <r>
      <rPr>
        <sz val="10"/>
        <rFont val="Arial"/>
        <family val="2"/>
      </rPr>
      <t xml:space="preserve"> of insulation sheets+ void between layers</t>
    </r>
  </si>
  <si>
    <t>copper loss</t>
  </si>
  <si>
    <t>current density</t>
  </si>
  <si>
    <t>DC resistance</t>
  </si>
  <si>
    <t>kickback from sec. @ spark U2</t>
  </si>
  <si>
    <t>transform. ratio N2:N1</t>
  </si>
  <si>
    <t>admissible current</t>
  </si>
  <si>
    <t>N2:N1 =</t>
  </si>
  <si>
    <t>(real)</t>
  </si>
  <si>
    <t>Blechlänge L =</t>
  </si>
  <si>
    <t>gemessen 25.10.04 ~altes IR-Rohr / metrisch</t>
  </si>
  <si>
    <r>
      <t>L</t>
    </r>
    <r>
      <rPr>
        <vertAlign val="subscript"/>
        <sz val="10"/>
        <rFont val="Arial"/>
        <family val="2"/>
      </rPr>
      <t>air</t>
    </r>
  </si>
  <si>
    <r>
      <t>L</t>
    </r>
    <r>
      <rPr>
        <vertAlign val="subscript"/>
        <sz val="10"/>
        <rFont val="Arial"/>
        <family val="2"/>
      </rPr>
      <t>Fe</t>
    </r>
    <r>
      <rPr>
        <sz val="10"/>
        <rFont val="Arial"/>
        <family val="2"/>
      </rPr>
      <t>[H] = mr * L</t>
    </r>
    <r>
      <rPr>
        <vertAlign val="subscript"/>
        <sz val="10"/>
        <rFont val="Arial"/>
        <family val="2"/>
      </rPr>
      <t>air</t>
    </r>
    <r>
      <rPr>
        <sz val="10"/>
        <rFont val="Arial"/>
        <family val="2"/>
      </rPr>
      <t xml:space="preserve">  =</t>
    </r>
  </si>
  <si>
    <t>effective permeability</t>
  </si>
  <si>
    <t>spark voltage by  AIEE for points</t>
  </si>
  <si>
    <t xml:space="preserve">primary RMS current   i </t>
  </si>
  <si>
    <t xml:space="preserve">Hr.Aldermatt     </t>
  </si>
  <si>
    <t>d/2</t>
  </si>
  <si>
    <t xml:space="preserve"> d</t>
  </si>
  <si>
    <t xml:space="preserve">H  </t>
  </si>
  <si>
    <t>L</t>
  </si>
  <si>
    <t>NT1 = Number of turns in Layer 1</t>
  </si>
  <si>
    <t>a  =  sqrt [ d^2 - (d^2/2) ]</t>
  </si>
  <si>
    <t>a  =  d * sqrt [ 3/4 ]</t>
  </si>
  <si>
    <t>H = (NL-1) * a  +  d</t>
  </si>
  <si>
    <t>H = (NL-1) * d * sqrt [ 3/4 ]  +  d</t>
  </si>
  <si>
    <t>H = d * [(NL-1) * sqrt ( 3/4 )  +  1 ]</t>
  </si>
  <si>
    <t xml:space="preserve">     NL = No. of Layers</t>
  </si>
  <si>
    <t>layers</t>
  </si>
  <si>
    <t xml:space="preserve">NL  = </t>
  </si>
  <si>
    <t xml:space="preserve">H  = </t>
  </si>
  <si>
    <t xml:space="preserve">d   = </t>
  </si>
  <si>
    <t>d = H / [(NL-1) * (sqrt(3)/2)  +  1 ]</t>
  </si>
  <si>
    <t>NT1 = L / d</t>
  </si>
  <si>
    <t xml:space="preserve">L  = </t>
  </si>
  <si>
    <t xml:space="preserve">NT1 = </t>
  </si>
  <si>
    <t xml:space="preserve">NT2 = </t>
  </si>
  <si>
    <t xml:space="preserve">NT3 = </t>
  </si>
  <si>
    <t xml:space="preserve">NT4 = </t>
  </si>
  <si>
    <r>
      <t>S</t>
    </r>
    <r>
      <rPr>
        <sz val="10"/>
        <rFont val="Arial"/>
        <family val="2"/>
      </rPr>
      <t xml:space="preserve"> (NT's) = </t>
    </r>
  </si>
  <si>
    <r>
      <t xml:space="preserve">the </t>
    </r>
    <r>
      <rPr>
        <b/>
        <sz val="10"/>
        <rFont val="Arial"/>
        <family val="2"/>
      </rPr>
      <t>insulated</t>
    </r>
    <r>
      <rPr>
        <sz val="10"/>
        <rFont val="Arial"/>
        <family val="2"/>
      </rPr>
      <t xml:space="preserve"> wire diameter is:</t>
    </r>
  </si>
  <si>
    <r>
      <t>d</t>
    </r>
    <r>
      <rPr>
        <vertAlign val="subscript"/>
        <sz val="10"/>
        <rFont val="Arial"/>
        <family val="2"/>
      </rPr>
      <t xml:space="preserve">Cu </t>
    </r>
    <r>
      <rPr>
        <sz val="10"/>
        <rFont val="Arial"/>
        <family val="2"/>
      </rPr>
      <t xml:space="preserve"> = </t>
    </r>
  </si>
  <si>
    <t xml:space="preserve">  d/4</t>
  </si>
  <si>
    <t xml:space="preserve">  d/2</t>
  </si>
  <si>
    <t>b = (NT1-1)*d + 1.5*d</t>
  </si>
  <si>
    <t>A = 0.5*(b + c)*H</t>
  </si>
  <si>
    <t>circumscribed trapezoid</t>
  </si>
  <si>
    <t>trapezoid top</t>
  </si>
  <si>
    <t>trapezoid area</t>
  </si>
  <si>
    <t>trapezoid base</t>
  </si>
  <si>
    <t>trapezoid base  b</t>
  </si>
  <si>
    <t>trapezoid area  A</t>
  </si>
  <si>
    <t>c = [NT1-(NL-1)-1]*d - 0.5*d</t>
  </si>
  <si>
    <t>area used by turns</t>
  </si>
  <si>
    <t>% of area A in turns</t>
  </si>
  <si>
    <t>Example "Small PHYWE Inductor":</t>
  </si>
  <si>
    <t>Primary Winding by "Densest-Packing" Method</t>
  </si>
  <si>
    <t>copper fillfactor</t>
  </si>
  <si>
    <t xml:space="preserve">dense packing </t>
  </si>
  <si>
    <r>
      <t xml:space="preserve">max. layer height packing (if turns are arranged one exactly above the other), the % area used by turns would just be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/4  :</t>
    </r>
  </si>
  <si>
    <t xml:space="preserve">max. layer height packing </t>
  </si>
  <si>
    <r>
      <t>the (</t>
    </r>
    <r>
      <rPr>
        <sz val="10"/>
        <color indexed="17"/>
        <rFont val="Arial"/>
        <family val="2"/>
      </rPr>
      <t>measured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bare</t>
    </r>
    <r>
      <rPr>
        <sz val="10"/>
        <rFont val="Arial"/>
        <family val="2"/>
      </rPr>
      <t xml:space="preserve"> wire diameter is:</t>
    </r>
  </si>
  <si>
    <t>trapezoid top     c</t>
  </si>
  <si>
    <t>Input and Calculations</t>
  </si>
  <si>
    <t>&lt;--- in reality 35.3 cm (measured!)</t>
  </si>
  <si>
    <t>&lt;---- this is the inner diameter of the secondary!</t>
  </si>
  <si>
    <t>RLC - Kreis: Schaltverhalten --&gt; Ausschalten !</t>
  </si>
  <si>
    <t>Rkrit</t>
  </si>
  <si>
    <t>Inputgrössen in SI:</t>
  </si>
  <si>
    <t>Inputgrössen in prakt.Einheiten:</t>
  </si>
  <si>
    <t>Abgeleitete charakeristische Grössen</t>
  </si>
  <si>
    <t>Speisespannung Uo =</t>
  </si>
  <si>
    <r>
      <t>a</t>
    </r>
    <r>
      <rPr>
        <vertAlign val="superscript"/>
        <sz val="10"/>
        <rFont val="Symbol"/>
        <family val="1"/>
        <charset val="2"/>
      </rPr>
      <t>2</t>
    </r>
    <r>
      <rPr>
        <sz val="10"/>
        <rFont val="Arial"/>
        <family val="2"/>
      </rPr>
      <t xml:space="preserve"> =(R/2L)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</si>
  <si>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a</t>
    </r>
    <r>
      <rPr>
        <sz val="10"/>
        <rFont val="Arial"/>
        <family val="2"/>
      </rPr>
      <t xml:space="preserve"> = R/2L =</t>
    </r>
  </si>
  <si>
    <r>
      <t>= 1/</t>
    </r>
    <r>
      <rPr>
        <sz val="10"/>
        <rFont val="Symbol"/>
        <family val="1"/>
        <charset val="2"/>
      </rPr>
      <t>t</t>
    </r>
  </si>
  <si>
    <t>Widerstand R =</t>
  </si>
  <si>
    <r>
      <t>w</t>
    </r>
    <r>
      <rPr>
        <vertAlign val="subscript"/>
        <sz val="10"/>
        <rFont val="Arial"/>
        <family val="2"/>
      </rPr>
      <t>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 1/LC =</t>
    </r>
  </si>
  <si>
    <r>
      <t>w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 = </t>
    </r>
  </si>
  <si>
    <t>Induktivität L =</t>
  </si>
  <si>
    <t>Uo/L  =</t>
  </si>
  <si>
    <t>Kapazität C =</t>
  </si>
  <si>
    <t>F</t>
  </si>
  <si>
    <r>
      <t>f</t>
    </r>
    <r>
      <rPr>
        <sz val="10"/>
        <rFont val="Symbol"/>
        <family val="1"/>
        <charset val="2"/>
      </rPr>
      <t xml:space="preserve"> = w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/2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= </t>
    </r>
  </si>
  <si>
    <t>Hz  Perj.T =</t>
  </si>
  <si>
    <t>sec</t>
  </si>
  <si>
    <t>Initialbedingungen Qc =</t>
  </si>
  <si>
    <t>Fallunterscheidung:</t>
  </si>
  <si>
    <t xml:space="preserve">1.)  </t>
  </si>
  <si>
    <r>
      <t>a</t>
    </r>
    <r>
      <rPr>
        <vertAlign val="superscript"/>
        <sz val="10"/>
        <rFont val="Symbol"/>
        <family val="1"/>
        <charset val="2"/>
      </rPr>
      <t>2</t>
    </r>
    <r>
      <rPr>
        <sz val="10"/>
        <rFont val="Symbol"/>
        <family val="1"/>
        <charset val="2"/>
      </rPr>
      <t xml:space="preserve"> &gt; w</t>
    </r>
    <r>
      <rPr>
        <vertAlign val="subscript"/>
        <sz val="10"/>
        <rFont val="Arial"/>
        <family val="2"/>
      </rPr>
      <t>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</si>
  <si>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aperjodisch</t>
  </si>
  <si>
    <r>
      <t xml:space="preserve">sqrt </t>
    </r>
    <r>
      <rPr>
        <sz val="10"/>
        <rFont val="Symbol"/>
        <family val="1"/>
        <charset val="2"/>
      </rPr>
      <t>(a</t>
    </r>
    <r>
      <rPr>
        <vertAlign val="superscript"/>
        <sz val="10"/>
        <rFont val="Symbol"/>
        <family val="1"/>
        <charset val="2"/>
      </rPr>
      <t>2</t>
    </r>
    <r>
      <rPr>
        <sz val="10"/>
        <rFont val="Symbol"/>
        <family val="1"/>
        <charset val="2"/>
      </rPr>
      <t xml:space="preserve"> - w</t>
    </r>
    <r>
      <rPr>
        <vertAlign val="subscript"/>
        <sz val="10"/>
        <rFont val="Arial"/>
        <family val="2"/>
      </rPr>
      <t>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) =</t>
    </r>
  </si>
  <si>
    <t xml:space="preserve">2.)  </t>
  </si>
  <si>
    <r>
      <t>a</t>
    </r>
    <r>
      <rPr>
        <vertAlign val="superscript"/>
        <sz val="10"/>
        <rFont val="Symbol"/>
        <family val="1"/>
        <charset val="2"/>
      </rPr>
      <t>2</t>
    </r>
    <r>
      <rPr>
        <sz val="10"/>
        <rFont val="Symbol"/>
        <family val="1"/>
        <charset val="2"/>
      </rPr>
      <t xml:space="preserve"> = w</t>
    </r>
    <r>
      <rPr>
        <vertAlign val="subscript"/>
        <sz val="10"/>
        <rFont val="Arial"/>
        <family val="2"/>
      </rPr>
      <t>o2</t>
    </r>
  </si>
  <si>
    <t>Grenzfall</t>
  </si>
  <si>
    <t xml:space="preserve">3.)  </t>
  </si>
  <si>
    <r>
      <t>a</t>
    </r>
    <r>
      <rPr>
        <vertAlign val="superscript"/>
        <sz val="10"/>
        <rFont val="Symbol"/>
        <family val="1"/>
        <charset val="2"/>
      </rPr>
      <t>2</t>
    </r>
    <r>
      <rPr>
        <sz val="10"/>
        <rFont val="Symbol"/>
        <family val="1"/>
        <charset val="2"/>
      </rPr>
      <t xml:space="preserve"> &lt; w</t>
    </r>
    <r>
      <rPr>
        <vertAlign val="subscript"/>
        <sz val="10"/>
        <rFont val="Arial"/>
        <family val="2"/>
      </rPr>
      <t>o</t>
    </r>
    <r>
      <rPr>
        <vertAlign val="superscript"/>
        <sz val="10"/>
        <rFont val="Arial"/>
        <family val="2"/>
      </rPr>
      <t>2</t>
    </r>
  </si>
  <si>
    <t>perjodisch</t>
  </si>
  <si>
    <r>
      <t xml:space="preserve">sqrt </t>
    </r>
    <r>
      <rPr>
        <sz val="10"/>
        <rFont val="Symbol"/>
        <family val="1"/>
        <charset val="2"/>
      </rPr>
      <t>(w</t>
    </r>
    <r>
      <rPr>
        <vertAlign val="subscript"/>
        <sz val="10"/>
        <rFont val="Arial"/>
        <family val="2"/>
      </rPr>
      <t>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</t>
    </r>
    <r>
      <rPr>
        <sz val="10"/>
        <rFont val="Symbol"/>
        <family val="1"/>
        <charset val="2"/>
      </rPr>
      <t>a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) =</t>
    </r>
  </si>
  <si>
    <r>
      <t>=W</t>
    </r>
    <r>
      <rPr>
        <vertAlign val="subscript"/>
        <sz val="10"/>
        <rFont val="Arial"/>
        <family val="2"/>
      </rPr>
      <t>o</t>
    </r>
  </si>
  <si>
    <r>
      <t>fd</t>
    </r>
    <r>
      <rPr>
        <sz val="10"/>
        <rFont val="Symbol"/>
        <family val="1"/>
        <charset val="2"/>
      </rPr>
      <t>=W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/(2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) =</t>
    </r>
  </si>
  <si>
    <t>25k Wdg. (kleiner Induktor)</t>
  </si>
  <si>
    <r>
      <t>U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Uo - U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-i*R</t>
    </r>
  </si>
  <si>
    <t>t</t>
  </si>
  <si>
    <r>
      <t>U</t>
    </r>
    <r>
      <rPr>
        <b/>
        <vertAlign val="subscript"/>
        <sz val="10"/>
        <rFont val="Arial"/>
        <family val="2"/>
      </rPr>
      <t>L</t>
    </r>
  </si>
  <si>
    <r>
      <t>U</t>
    </r>
    <r>
      <rPr>
        <b/>
        <vertAlign val="subscript"/>
        <sz val="10"/>
        <rFont val="Arial"/>
        <family val="2"/>
      </rPr>
      <t>c</t>
    </r>
  </si>
  <si>
    <t>[sec]</t>
  </si>
  <si>
    <t>[A]</t>
  </si>
  <si>
    <t>[V]</t>
  </si>
  <si>
    <t>RL - Kreis: Schaltverhalten --&gt;Einschalten !</t>
  </si>
  <si>
    <r>
      <t xml:space="preserve">                         Endstrom (t=∞)  I</t>
    </r>
    <r>
      <rPr>
        <vertAlign val="subscript"/>
        <sz val="14"/>
        <rFont val="Arial"/>
        <family val="2"/>
      </rPr>
      <t>∞</t>
    </r>
    <r>
      <rPr>
        <sz val="10"/>
        <rFont val="Arial"/>
        <family val="2"/>
      </rPr>
      <t xml:space="preserve"> = Uo/R =</t>
    </r>
  </si>
  <si>
    <t>Initialbedingungen (t=0)  i =</t>
  </si>
  <si>
    <t>[msec]</t>
  </si>
  <si>
    <r>
      <t>f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 1 / { 2</t>
    </r>
    <r>
      <rPr>
        <b/>
        <sz val="12"/>
        <rFont val="Symbol"/>
        <family val="1"/>
        <charset val="2"/>
      </rPr>
      <t>p</t>
    </r>
    <r>
      <rPr>
        <b/>
        <sz val="10"/>
        <rFont val="Symbol"/>
        <family val="1"/>
        <charset val="2"/>
      </rPr>
      <t xml:space="preserve"> * </t>
    </r>
    <r>
      <rPr>
        <b/>
        <sz val="10"/>
        <rFont val="Arial"/>
        <family val="2"/>
      </rPr>
      <t>sqrt [ L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b/>
        <sz val="10"/>
        <rFont val="Symbol"/>
        <family val="1"/>
        <charset val="2"/>
      </rPr>
      <t xml:space="preserve">* </t>
    </r>
    <r>
      <rPr>
        <b/>
        <sz val="10"/>
        <rFont val="Arial"/>
        <family val="2"/>
      </rPr>
      <t>(1</t>
    </r>
    <r>
      <rPr>
        <b/>
        <sz val="10"/>
        <rFont val="Symbol"/>
        <family val="1"/>
        <charset val="2"/>
      </rPr>
      <t>-</t>
    </r>
    <r>
      <rPr>
        <b/>
        <sz val="10"/>
        <rFont val="Arial"/>
        <family val="2"/>
      </rPr>
      <t xml:space="preserve"> k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) </t>
    </r>
    <r>
      <rPr>
        <b/>
        <sz val="10"/>
        <rFont val="Symbol"/>
        <family val="1"/>
        <charset val="2"/>
      </rPr>
      <t>*</t>
    </r>
    <r>
      <rPr>
        <b/>
        <sz val="10"/>
        <rFont val="Arial"/>
        <family val="2"/>
      </rPr>
      <t xml:space="preserve"> C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] }</t>
    </r>
  </si>
  <si>
    <r>
      <t>f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 1 / { 2</t>
    </r>
    <r>
      <rPr>
        <b/>
        <sz val="12"/>
        <rFont val="Symbol"/>
        <family val="1"/>
        <charset val="2"/>
      </rPr>
      <t>p</t>
    </r>
    <r>
      <rPr>
        <b/>
        <sz val="10"/>
        <rFont val="Symbol"/>
        <family val="1"/>
        <charset val="2"/>
      </rPr>
      <t xml:space="preserve"> * </t>
    </r>
    <r>
      <rPr>
        <b/>
        <sz val="10"/>
        <rFont val="Arial"/>
        <family val="2"/>
      </rPr>
      <t>sqrt [k</t>
    </r>
    <r>
      <rPr>
        <b/>
        <vertAlign val="superscript"/>
        <sz val="10"/>
        <rFont val="Arial"/>
        <family val="2"/>
      </rPr>
      <t xml:space="preserve"> 2</t>
    </r>
    <r>
      <rPr>
        <b/>
        <sz val="10"/>
        <rFont val="Symbol"/>
        <family val="1"/>
        <charset val="2"/>
      </rPr>
      <t>*</t>
    </r>
    <r>
      <rPr>
        <b/>
        <sz val="10"/>
        <rFont val="Arial"/>
        <family val="2"/>
      </rPr>
      <t xml:space="preserve"> L</t>
    </r>
    <r>
      <rPr>
        <b/>
        <vertAlign val="subscript"/>
        <sz val="10"/>
        <rFont val="Arial"/>
        <family val="2"/>
      </rPr>
      <t>1</t>
    </r>
    <r>
      <rPr>
        <b/>
        <sz val="10"/>
        <rFont val="Symbol"/>
        <family val="1"/>
        <charset val="2"/>
      </rPr>
      <t>* (</t>
    </r>
    <r>
      <rPr>
        <b/>
        <sz val="10"/>
        <rFont val="Arial"/>
        <family val="2"/>
      </rPr>
      <t xml:space="preserve"> C</t>
    </r>
    <r>
      <rPr>
        <b/>
        <vertAlign val="subscript"/>
        <sz val="10"/>
        <rFont val="Arial"/>
        <family val="2"/>
      </rPr>
      <t>1</t>
    </r>
    <r>
      <rPr>
        <b/>
        <sz val="10"/>
        <rFont val="Symbol"/>
        <family val="1"/>
        <charset val="2"/>
      </rPr>
      <t>+</t>
    </r>
    <r>
      <rPr>
        <b/>
        <sz val="10"/>
        <rFont val="Arial"/>
        <family val="2"/>
      </rPr>
      <t xml:space="preserve"> n</t>
    </r>
    <r>
      <rPr>
        <b/>
        <vertAlign val="superscript"/>
        <sz val="10"/>
        <rFont val="Arial"/>
        <family val="2"/>
      </rPr>
      <t>2</t>
    </r>
    <r>
      <rPr>
        <b/>
        <sz val="10"/>
        <rFont val="Symbol"/>
        <family val="1"/>
        <charset val="2"/>
      </rPr>
      <t xml:space="preserve"> *</t>
    </r>
    <r>
      <rPr>
        <b/>
        <sz val="10"/>
        <rFont val="Arial"/>
        <family val="2"/>
      </rPr>
      <t xml:space="preserve"> C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/ k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)] }</t>
    </r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</si>
  <si>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secondary capacitance [F]</t>
    </r>
  </si>
  <si>
    <r>
      <t>where 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C</t>
    </r>
    <r>
      <rPr>
        <vertAlign val="subscript"/>
        <sz val="10"/>
        <rFont val="Arial"/>
        <family val="2"/>
      </rPr>
      <t>2,o</t>
    </r>
    <r>
      <rPr>
        <sz val="10"/>
        <rFont val="Arial"/>
        <family val="2"/>
      </rPr>
      <t xml:space="preserve"> + C</t>
    </r>
    <r>
      <rPr>
        <vertAlign val="subscript"/>
        <sz val="10"/>
        <rFont val="Arial"/>
        <family val="2"/>
      </rPr>
      <t>2,add</t>
    </r>
  </si>
  <si>
    <r>
      <t>C</t>
    </r>
    <r>
      <rPr>
        <vertAlign val="subscript"/>
        <sz val="10"/>
        <rFont val="Arial"/>
        <family val="2"/>
      </rPr>
      <t>2,add</t>
    </r>
    <r>
      <rPr>
        <sz val="10"/>
        <rFont val="Arial"/>
        <family val="2"/>
      </rPr>
      <t xml:space="preserve"> secondary added capacitance [F]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</si>
  <si>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number of secondary turns [-]</t>
    </r>
  </si>
  <si>
    <t>n   turns ratio = N2/N1 [-]</t>
  </si>
  <si>
    <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primary inductance [H]</t>
    </r>
  </si>
  <si>
    <r>
      <t>C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primary capacitance [F]</t>
    </r>
  </si>
  <si>
    <r>
      <t>C</t>
    </r>
    <r>
      <rPr>
        <vertAlign val="subscript"/>
        <sz val="10"/>
        <rFont val="Arial"/>
        <family val="2"/>
      </rPr>
      <t>2,o</t>
    </r>
    <r>
      <rPr>
        <sz val="10"/>
        <rFont val="Arial"/>
        <family val="2"/>
      </rPr>
      <t xml:space="preserve"> secondary self-capacitance [F]</t>
    </r>
  </si>
  <si>
    <r>
      <t>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number of primary turns [-]</t>
    </r>
  </si>
  <si>
    <r>
      <t>k coupling factor = M/sqrt(L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* 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</si>
  <si>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secondary inductance [H]</t>
    </r>
  </si>
  <si>
    <t>M = mutual inductance [H]</t>
  </si>
  <si>
    <t>with spark:</t>
  </si>
  <si>
    <t>before and after spark:</t>
  </si>
  <si>
    <t xml:space="preserve">k, n </t>
  </si>
  <si>
    <t>pF</t>
  </si>
  <si>
    <t>Übersetzungsverhältnis n =</t>
  </si>
  <si>
    <t>Kopplungsfaktor k =</t>
  </si>
  <si>
    <t>Zeitinkrement (% Perj.dauer)</t>
  </si>
  <si>
    <t>Zeitinkrement in % Zeitkonst.</t>
  </si>
  <si>
    <t>Hz</t>
  </si>
  <si>
    <t>ms</t>
  </si>
  <si>
    <t>Periode T =</t>
  </si>
  <si>
    <r>
      <t xml:space="preserve">k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 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</si>
  <si>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</si>
  <si>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</si>
  <si>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Here are some approximate transformer design equations that will get you into the right area:</t>
  </si>
  <si>
    <t xml:space="preserve">     Core cross section area (sq inch) = .16 * sqrt( VA) </t>
  </si>
  <si>
    <t>P=</t>
  </si>
  <si>
    <t>A=</t>
  </si>
  <si>
    <t>d=</t>
  </si>
  <si>
    <t xml:space="preserve">     Turns/Volt = 5 / Core cross section </t>
  </si>
  <si>
    <t>n/V=</t>
  </si>
  <si>
    <t>turns/V</t>
  </si>
  <si>
    <t>This last equation is a special case of:</t>
  </si>
  <si>
    <t>60Hz</t>
  </si>
  <si>
    <t>50Hz</t>
  </si>
  <si>
    <t>Voltage = 4 * F * f * a * B * N * 1E-8</t>
  </si>
  <si>
    <t>where:</t>
  </si>
  <si>
    <t>F = Form factor, typically around 1.11</t>
  </si>
  <si>
    <t>f = frequency in Hz</t>
  </si>
  <si>
    <t>a = core cross sectional area in sq inch</t>
  </si>
  <si>
    <t>B = flux per square inch (typ 75,000)</t>
  </si>
  <si>
    <t>N = number of turns</t>
  </si>
  <si>
    <t xml:space="preserve">inch </t>
  </si>
  <si>
    <t>Jim Lux's</t>
  </si>
  <si>
    <t>Different Equivalent Circuits for Transformers</t>
  </si>
  <si>
    <t>My Induction Coil:</t>
  </si>
  <si>
    <t>Following Bouwers:</t>
  </si>
  <si>
    <t>ü =</t>
  </si>
  <si>
    <r>
      <t>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</si>
  <si>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k = M / sqrt( L2*L1)</t>
  </si>
  <si>
    <t xml:space="preserve">  -----&gt;</t>
  </si>
  <si>
    <t>M = k * sqrt( L2*L1)</t>
  </si>
  <si>
    <t>k =</t>
  </si>
  <si>
    <r>
      <t>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</si>
  <si>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M' = (w1/w2) * M</t>
  </si>
  <si>
    <t xml:space="preserve">M' = M / ü  in my version </t>
  </si>
  <si>
    <t>(and the one of Charles Hobson)</t>
  </si>
  <si>
    <t xml:space="preserve">L1 = </t>
  </si>
  <si>
    <t>L2 =</t>
  </si>
  <si>
    <t>M  =</t>
  </si>
  <si>
    <t>M' = M / ü = k * sqrt (L2*L1) / ü</t>
  </si>
  <si>
    <t>R1 =</t>
  </si>
  <si>
    <t>S1 = L1 - M'  =  L1 - k*sqrt(L2*L1)/ü</t>
  </si>
  <si>
    <t>R2 =</t>
  </si>
  <si>
    <t>S2' = L2' - M' = L2/(ü*ü) - k*sqrt(L2*L1)/ü</t>
  </si>
  <si>
    <t>M' =</t>
  </si>
  <si>
    <t>L1 - M =</t>
  </si>
  <si>
    <t>S1 =</t>
  </si>
  <si>
    <t>L2 - M =</t>
  </si>
  <si>
    <t>S2' =</t>
  </si>
  <si>
    <t>S1+S2'</t>
  </si>
  <si>
    <t>Küpfmüllers Kopplungs-Ersatzschaltung des Trafo!</t>
  </si>
  <si>
    <t>Bowers's Streuungs-Ersatzschaltung des Trafo!</t>
  </si>
  <si>
    <t xml:space="preserve">L1 - M </t>
  </si>
  <si>
    <t xml:space="preserve">L2 - M </t>
  </si>
  <si>
    <t>S1</t>
  </si>
  <si>
    <t>S2'</t>
  </si>
  <si>
    <t>i1</t>
  </si>
  <si>
    <t>H      i2</t>
  </si>
  <si>
    <t>¦</t>
  </si>
  <si>
    <t xml:space="preserve">       M</t>
  </si>
  <si>
    <t xml:space="preserve">       M'</t>
  </si>
  <si>
    <t>Bem.: Negativer Wert L1-M belanglos bezüglich Gültigkeit!</t>
  </si>
  <si>
    <t>Aus meinem Detailmodell</t>
  </si>
  <si>
    <t>(Kosten für die kleinen Induktoren 2004)</t>
  </si>
  <si>
    <t>Kurt's Induction Coil (=the Big one)</t>
  </si>
  <si>
    <t>Kurt's big Induction Coil</t>
  </si>
  <si>
    <t>I.S.Grant / W.R.Phillips, Electromagnetism, 2nd Ed., 1990, Wiley Sons Ltd., ISBN 0 471 92711 0 pbk, p.316, used by:</t>
  </si>
  <si>
    <t>Charles A. Hobson's: view from primary</t>
  </si>
  <si>
    <t>Charles A. Hobson's: view from secondary</t>
  </si>
  <si>
    <r>
      <t>L1*(1-k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) </t>
    </r>
  </si>
  <si>
    <r>
      <t>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*Rs/n</t>
    </r>
    <r>
      <rPr>
        <vertAlign val="superscript"/>
        <sz val="10"/>
        <rFont val="Arial"/>
        <family val="2"/>
      </rPr>
      <t>2</t>
    </r>
  </si>
  <si>
    <r>
      <t>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*Rp</t>
    </r>
  </si>
  <si>
    <r>
      <t>L2*(1-k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) </t>
    </r>
  </si>
  <si>
    <t>ohm</t>
  </si>
  <si>
    <r>
      <t>L1*k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 </t>
    </r>
  </si>
  <si>
    <r>
      <t>L2*k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</si>
  <si>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*Rs/n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</si>
  <si>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*Rp=</t>
    </r>
  </si>
  <si>
    <r>
      <t>L1*(1-k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=</t>
    </r>
  </si>
  <si>
    <r>
      <t>L2*(1-k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=</t>
    </r>
  </si>
  <si>
    <r>
      <t>L1*k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</si>
  <si>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L2*k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</si>
  <si>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L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1 = L1-M/ü</t>
    </r>
  </si>
  <si>
    <r>
      <t xml:space="preserve"> L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2' =X2'/(2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*f) </t>
    </r>
  </si>
  <si>
    <r>
      <t>C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+n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</si>
  <si>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Abschaltstrom i</t>
    </r>
    <r>
      <rPr>
        <vertAlign val="subscript"/>
        <sz val="10"/>
        <rFont val="Arial"/>
        <family val="2"/>
      </rPr>
      <t>end</t>
    </r>
    <r>
      <rPr>
        <sz val="10"/>
        <rFont val="Arial"/>
        <family val="2"/>
      </rPr>
      <t xml:space="preserve"> =</t>
    </r>
  </si>
  <si>
    <r>
      <t>Ladezeit t</t>
    </r>
    <r>
      <rPr>
        <vertAlign val="subscript"/>
        <sz val="10"/>
        <rFont val="Arial"/>
        <family val="2"/>
      </rPr>
      <t>end</t>
    </r>
    <r>
      <rPr>
        <sz val="10"/>
        <rFont val="Arial"/>
        <family val="2"/>
      </rPr>
      <t xml:space="preserve"> =</t>
    </r>
  </si>
  <si>
    <r>
      <t xml:space="preserve">Zeitinkrement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t =</t>
    </r>
  </si>
  <si>
    <r>
      <t>R</t>
    </r>
    <r>
      <rPr>
        <vertAlign val="subscript"/>
        <sz val="10"/>
        <rFont val="Arial"/>
        <family val="2"/>
      </rPr>
      <t>gap</t>
    </r>
  </si>
  <si>
    <r>
      <t>U</t>
    </r>
    <r>
      <rPr>
        <vertAlign val="subscript"/>
        <sz val="10"/>
        <rFont val="Arial"/>
        <family val="2"/>
      </rPr>
      <t>spark</t>
    </r>
  </si>
  <si>
    <t>Funkenlänge =</t>
  </si>
  <si>
    <r>
      <t>Zündspannung U</t>
    </r>
    <r>
      <rPr>
        <vertAlign val="subscript"/>
        <sz val="10"/>
        <rFont val="Arial"/>
        <family val="2"/>
      </rPr>
      <t>spark</t>
    </r>
    <r>
      <rPr>
        <sz val="10"/>
        <rFont val="Arial"/>
        <family val="2"/>
      </rPr>
      <t xml:space="preserve"> =</t>
    </r>
  </si>
  <si>
    <r>
      <t>Funkenwiderstand R</t>
    </r>
    <r>
      <rPr>
        <vertAlign val="subscript"/>
        <sz val="10"/>
        <rFont val="Arial"/>
        <family val="2"/>
      </rPr>
      <t xml:space="preserve">gap </t>
    </r>
    <r>
      <rPr>
        <sz val="10"/>
        <rFont val="Arial"/>
        <family val="2"/>
      </rPr>
      <t>=</t>
    </r>
  </si>
  <si>
    <t>kOhm</t>
  </si>
  <si>
    <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* (1- 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=</t>
    </r>
  </si>
  <si>
    <r>
      <t>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*Rgap/n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=</t>
    </r>
  </si>
  <si>
    <r>
      <t>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*R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=</t>
    </r>
  </si>
  <si>
    <r>
      <t>Widerstand R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</si>
  <si>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Induktivität 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</si>
  <si>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Kapazität C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</si>
  <si>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Widerstand 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</si>
  <si>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Induktivität 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</si>
  <si>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Kapazität 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</si>
  <si>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R</t>
    </r>
    <r>
      <rPr>
        <vertAlign val="subscript"/>
        <sz val="10"/>
        <rFont val="Arial"/>
        <family val="2"/>
      </rPr>
      <t>2</t>
    </r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</si>
  <si>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N</t>
    </r>
    <r>
      <rPr>
        <vertAlign val="subscript"/>
        <sz val="10"/>
        <rFont val="Arial"/>
        <family val="2"/>
      </rPr>
      <t>2</t>
    </r>
  </si>
  <si>
    <r>
      <t>R</t>
    </r>
    <r>
      <rPr>
        <vertAlign val="subscript"/>
        <sz val="10"/>
        <rFont val="Arial"/>
        <family val="2"/>
      </rPr>
      <t>1</t>
    </r>
  </si>
  <si>
    <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, N</t>
    </r>
    <r>
      <rPr>
        <vertAlign val="subscript"/>
        <sz val="10"/>
        <rFont val="Arial"/>
        <family val="2"/>
      </rPr>
      <t>1</t>
    </r>
  </si>
  <si>
    <r>
      <t xml:space="preserve">   C</t>
    </r>
    <r>
      <rPr>
        <vertAlign val="subscript"/>
        <sz val="10"/>
        <rFont val="Arial"/>
        <family val="2"/>
      </rPr>
      <t>1</t>
    </r>
  </si>
  <si>
    <r>
      <t>C</t>
    </r>
    <r>
      <rPr>
        <vertAlign val="subscript"/>
        <sz val="10"/>
        <rFont val="Arial"/>
        <family val="2"/>
      </rPr>
      <t>2</t>
    </r>
  </si>
  <si>
    <t>Parameter</t>
  </si>
  <si>
    <t>Ersatz-</t>
  </si>
  <si>
    <t>anzahl werte</t>
  </si>
  <si>
    <t>Spark [V]</t>
  </si>
  <si>
    <t>Seibt-Spule</t>
  </si>
  <si>
    <t>Widler, 2 KRH Rohre 3m/40mm Dmr.</t>
  </si>
  <si>
    <r>
      <t>ohne</t>
    </r>
    <r>
      <rPr>
        <u/>
        <sz val="10"/>
        <rFont val="Arial"/>
        <family val="2"/>
      </rPr>
      <t xml:space="preserve"> Funke</t>
    </r>
  </si>
  <si>
    <r>
      <t>mit</t>
    </r>
    <r>
      <rPr>
        <u/>
        <sz val="10"/>
        <rFont val="Arial"/>
        <family val="2"/>
      </rPr>
      <t xml:space="preserve"> Funke</t>
    </r>
  </si>
  <si>
    <t>[kV]</t>
  </si>
  <si>
    <r>
      <t>U</t>
    </r>
    <r>
      <rPr>
        <b/>
        <vertAlign val="subscript"/>
        <sz val="10"/>
        <rFont val="Arial"/>
        <family val="2"/>
      </rPr>
      <t>sec</t>
    </r>
  </si>
  <si>
    <t>RLC - Kreis: Schaltverhalten --&gt; Funke !</t>
  </si>
  <si>
    <t>&lt;--- before spark!</t>
  </si>
  <si>
    <r>
      <t>U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Uo - U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- i*R</t>
    </r>
  </si>
  <si>
    <r>
      <t>U</t>
    </r>
    <r>
      <rPr>
        <b/>
        <vertAlign val="subscript"/>
        <sz val="10"/>
        <rFont val="Arial"/>
        <family val="2"/>
      </rPr>
      <t>R</t>
    </r>
  </si>
  <si>
    <t>C ratio</t>
  </si>
  <si>
    <t>L ratio</t>
  </si>
  <si>
    <t>R ratio</t>
  </si>
  <si>
    <r>
      <t>U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last</t>
    </r>
  </si>
  <si>
    <r>
      <t>U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last</t>
    </r>
  </si>
  <si>
    <r>
      <t>U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last</t>
    </r>
  </si>
  <si>
    <t>@ time t =</t>
  </si>
  <si>
    <t>usec</t>
  </si>
  <si>
    <t>last calc vs. actual: Last/Actual</t>
  </si>
  <si>
    <r>
      <t>i</t>
    </r>
    <r>
      <rPr>
        <b/>
        <vertAlign val="subscript"/>
        <sz val="10"/>
        <rFont val="Arial"/>
        <family val="2"/>
      </rPr>
      <t>sec</t>
    </r>
  </si>
  <si>
    <t>[mA]</t>
  </si>
  <si>
    <r>
      <t>i</t>
    </r>
    <r>
      <rPr>
        <b/>
        <vertAlign val="subscript"/>
        <sz val="10"/>
        <rFont val="Arial"/>
        <family val="2"/>
      </rPr>
      <t>spark</t>
    </r>
  </si>
  <si>
    <r>
      <t>Z</t>
    </r>
    <r>
      <rPr>
        <b/>
        <vertAlign val="subscript"/>
        <sz val="10"/>
        <rFont val="Arial"/>
        <family val="2"/>
      </rPr>
      <t>sec</t>
    </r>
  </si>
  <si>
    <t>Codd's Example</t>
  </si>
  <si>
    <t>&lt;---- Measured @120Hz: 27.06mH; Q=2.06 (26.10.04)</t>
  </si>
  <si>
    <t>Kleiner PHYWE Induktor</t>
  </si>
  <si>
    <t>&lt;--- Measured L1 = 9.6 ± 0.1mH</t>
  </si>
  <si>
    <t xml:space="preserve">      Codd's prediction is 21.9% high!</t>
  </si>
  <si>
    <t>Core</t>
  </si>
  <si>
    <t>r1</t>
  </si>
  <si>
    <t>coord.</t>
  </si>
  <si>
    <t>(4 points)</t>
  </si>
  <si>
    <t>y1</t>
  </si>
  <si>
    <t>y2</t>
  </si>
  <si>
    <t>apparent current</t>
  </si>
  <si>
    <t>("iron")</t>
  </si>
  <si>
    <t>(copper)</t>
  </si>
  <si>
    <t>Sec.</t>
  </si>
  <si>
    <t xml:space="preserve">  &lt;---- current equally distributed over winding area !</t>
  </si>
  <si>
    <t>lamination d</t>
  </si>
  <si>
    <t>cm      d=</t>
  </si>
  <si>
    <t>cm  fillfact.</t>
  </si>
  <si>
    <t xml:space="preserve"> ---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</si>
  <si>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[A]</t>
    </r>
  </si>
  <si>
    <t xml:space="preserve">  &lt;---- current when spark is ON, - don't enter to FEMM !</t>
  </si>
  <si>
    <t xml:space="preserve"> &lt;-- it is assumed, a fraction of 0.85 to be OK; &lt; 0.7 too short</t>
  </si>
  <si>
    <t>J</t>
  </si>
  <si>
    <r>
      <t>H/A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</si>
  <si>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Integral ( 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.dV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) =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</si>
  <si>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</si>
  <si>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cross section  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=</t>
    </r>
  </si>
  <si>
    <r>
      <t>A/mm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</si>
  <si>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 xml:space="preserve">  &lt;---- current for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!</t>
    </r>
  </si>
  <si>
    <t>Grieder Kühlkörper + Stützen</t>
  </si>
  <si>
    <t>Tschopp, 5mm Messingstängeli</t>
  </si>
  <si>
    <t>Total pro Induktor</t>
  </si>
  <si>
    <t>Ed Phillips Cap-Discharger</t>
  </si>
  <si>
    <r>
      <t>induc. 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</si>
  <si>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r>
      <t>J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/A</t>
    </r>
  </si>
  <si>
    <r>
      <t>Integral ( 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x J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) =</t>
    </r>
  </si>
  <si>
    <r>
      <t>Integral ( 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x J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) =</t>
    </r>
  </si>
  <si>
    <r>
      <t>induc. 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</si>
  <si>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</si>
  <si>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induc. 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~</t>
    </r>
  </si>
  <si>
    <r>
      <t>induc. 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~</t>
    </r>
  </si>
  <si>
    <r>
      <t>Integral ( 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.dV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) =</t>
    </r>
  </si>
  <si>
    <r>
      <t>cross section  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 =</t>
    </r>
  </si>
  <si>
    <t xml:space="preserve"> &lt;-- integral over secondary volume</t>
  </si>
  <si>
    <t xml:space="preserve"> &lt;-- integral over primary volume</t>
  </si>
  <si>
    <t>mag.field energy E =</t>
  </si>
  <si>
    <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 Integral ( 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x J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) / (i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</si>
  <si>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L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=~ 2E / (i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</si>
  <si>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Integral ( 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x J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) / (i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</si>
  <si>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=~ 2E / (i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</si>
  <si>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</si>
  <si>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density J=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/ a</t>
    </r>
    <r>
      <rPr>
        <vertAlign val="subscript"/>
        <sz val="10"/>
        <rFont val="Arial"/>
        <family val="2"/>
      </rPr>
      <t>2</t>
    </r>
  </si>
  <si>
    <r>
      <t>density J= 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/ a</t>
    </r>
    <r>
      <rPr>
        <vertAlign val="subscript"/>
        <sz val="10"/>
        <rFont val="Arial"/>
        <family val="2"/>
      </rPr>
      <t>1</t>
    </r>
  </si>
  <si>
    <t>Bmax  =</t>
  </si>
  <si>
    <t>Tesla</t>
  </si>
  <si>
    <r>
      <t>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 xml:space="preserve">1 </t>
    </r>
    <r>
      <rPr>
        <sz val="10"/>
        <rFont val="Arial"/>
        <family val="2"/>
      </rPr>
      <t>=</t>
    </r>
  </si>
  <si>
    <r>
      <t xml:space="preserve">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(= 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.i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)=</t>
    </r>
  </si>
  <si>
    <t>coupling coeff. k =</t>
  </si>
  <si>
    <r>
      <t>mutual induc.M</t>
    </r>
    <r>
      <rPr>
        <vertAlign val="subscript"/>
        <sz val="10"/>
        <rFont val="Arial"/>
        <family val="2"/>
      </rPr>
      <t>1,2</t>
    </r>
    <r>
      <rPr>
        <sz val="10"/>
        <rFont val="Arial"/>
        <family val="2"/>
      </rPr>
      <t>=</t>
    </r>
  </si>
  <si>
    <r>
      <t>mutual induc.M</t>
    </r>
    <r>
      <rPr>
        <vertAlign val="subscript"/>
        <sz val="10"/>
        <rFont val="Arial"/>
        <family val="2"/>
      </rPr>
      <t>2,1</t>
    </r>
    <r>
      <rPr>
        <sz val="10"/>
        <rFont val="Arial"/>
        <family val="2"/>
      </rPr>
      <t>=</t>
    </r>
  </si>
  <si>
    <t>Finite Element Method Magnetics FEMM: Results</t>
  </si>
  <si>
    <t xml:space="preserve">    Finite Element Method Magnetics FEMM: Input Data</t>
  </si>
  <si>
    <t>Induction Coil: Sketches of some Parts</t>
  </si>
  <si>
    <t>K.Schraner 30.July 2001</t>
  </si>
  <si>
    <t xml:space="preserve">Laminated (0.3mm) Iron Core </t>
  </si>
  <si>
    <t>( 0.3mm Trafoblech ~1.8 Tesla )</t>
  </si>
  <si>
    <t>Weight of core:</t>
  </si>
  <si>
    <t>Cross-section area (calc.) =</t>
  </si>
  <si>
    <t>cm2</t>
  </si>
  <si>
    <t>lb (avoir dupois)</t>
  </si>
  <si>
    <t>Equiv. diameter (calc.) =</t>
  </si>
  <si>
    <t>cm  L/D=</t>
  </si>
  <si>
    <t>Experiment:</t>
  </si>
  <si>
    <t>Bowers, lossless</t>
  </si>
  <si>
    <r>
      <t>U</t>
    </r>
    <r>
      <rPr>
        <vertAlign val="subscript"/>
        <sz val="10"/>
        <rFont val="Arial"/>
        <family val="2"/>
      </rPr>
      <t>sec.max</t>
    </r>
  </si>
  <si>
    <t>Full cross-section length:</t>
  </si>
  <si>
    <t>Attention: NOT to Scale !</t>
  </si>
  <si>
    <t>Copper profile data:</t>
  </si>
  <si>
    <t>bare</t>
  </si>
  <si>
    <t>1.40x5.00</t>
  </si>
  <si>
    <t>insulated</t>
  </si>
  <si>
    <t>1.50x5.12</t>
  </si>
  <si>
    <t>Mylar</t>
  </si>
  <si>
    <t>0.4mm Draht</t>
  </si>
  <si>
    <t>Lötstellen</t>
  </si>
  <si>
    <t>Karton</t>
  </si>
  <si>
    <t>Klebeband</t>
  </si>
  <si>
    <t>Phasoflex</t>
  </si>
  <si>
    <t>(Motorisolat."Phasentrenner")</t>
  </si>
  <si>
    <t>Nuten-Isolationsmat. 0,17mm</t>
  </si>
  <si>
    <t>(grün)</t>
  </si>
  <si>
    <t>Wicklung</t>
  </si>
  <si>
    <t>Principle of</t>
  </si>
  <si>
    <r>
      <t xml:space="preserve">Primary ( </t>
    </r>
    <r>
      <rPr>
        <b/>
        <sz val="16"/>
        <rFont val="Symbol"/>
        <family val="1"/>
        <charset val="2"/>
      </rPr>
      <t>f</t>
    </r>
    <r>
      <rPr>
        <b/>
        <sz val="16"/>
        <rFont val="Arial"/>
        <family val="2"/>
      </rPr>
      <t xml:space="preserve">  ~ 72mm,</t>
    </r>
    <r>
      <rPr>
        <b/>
        <sz val="10"/>
        <rFont val="Arial"/>
        <family val="2"/>
      </rPr>
      <t xml:space="preserve"> including an outer layer of 2.9mm Mylar</t>
    </r>
    <r>
      <rPr>
        <b/>
        <sz val="16"/>
        <rFont val="Arial"/>
        <family val="2"/>
      </rPr>
      <t>)</t>
    </r>
  </si>
  <si>
    <t>Secondary "Pies"</t>
  </si>
  <si>
    <r>
      <t xml:space="preserve">              ( </t>
    </r>
    <r>
      <rPr>
        <b/>
        <sz val="16"/>
        <rFont val="Symbol"/>
        <family val="1"/>
        <charset val="2"/>
      </rPr>
      <t>f</t>
    </r>
    <r>
      <rPr>
        <b/>
        <sz val="16"/>
        <rFont val="Arial"/>
        <family val="2"/>
      </rPr>
      <t xml:space="preserve">  ~ 65.2mm,</t>
    </r>
    <r>
      <rPr>
        <b/>
        <sz val="10"/>
        <rFont val="Arial"/>
        <family val="2"/>
      </rPr>
      <t xml:space="preserve"> pertinax tube without  Mylar layer</t>
    </r>
    <r>
      <rPr>
        <b/>
        <sz val="16"/>
        <rFont val="Arial"/>
        <family val="2"/>
      </rPr>
      <t>)</t>
    </r>
  </si>
  <si>
    <t xml:space="preserve">nach Bewicklung     </t>
  </si>
  <si>
    <t xml:space="preserve">in Paraffin ausgekocht </t>
  </si>
  <si>
    <t xml:space="preserve">From Andy: </t>
  </si>
  <si>
    <t>Stärke</t>
  </si>
  <si>
    <t>Da</t>
  </si>
  <si>
    <t>Di</t>
  </si>
  <si>
    <t>Fl./Sch.</t>
  </si>
  <si>
    <t>[mm]</t>
  </si>
  <si>
    <t>[cm]</t>
  </si>
  <si>
    <t>[m2]</t>
  </si>
  <si>
    <t>Pro Scheibe der Wicklung:</t>
  </si>
  <si>
    <t>Kartonscheiben gross</t>
  </si>
  <si>
    <t>Kartonscheiben klein</t>
  </si>
  <si>
    <t>Mylarfolie</t>
  </si>
  <si>
    <t>Preisliste Karton A0</t>
  </si>
  <si>
    <t>Klebband</t>
  </si>
  <si>
    <t>grau 800 x 1100mm SB</t>
  </si>
  <si>
    <t>Draht</t>
  </si>
  <si>
    <t>Länge [m]</t>
  </si>
  <si>
    <t>Wicklungsbreite</t>
  </si>
  <si>
    <t>Breite  [m]</t>
  </si>
  <si>
    <t>Scheibenbreite</t>
  </si>
  <si>
    <t>Preis</t>
  </si>
  <si>
    <t>[Fr/Bogen]</t>
  </si>
  <si>
    <t>Gesamtes Scheibenwicklungspaket:</t>
  </si>
  <si>
    <t>Länge des Rohres</t>
  </si>
  <si>
    <t>Anzahl Scheiben</t>
  </si>
  <si>
    <t>Fläche</t>
  </si>
  <si>
    <t>Karton A0</t>
  </si>
  <si>
    <t>[Fr]</t>
  </si>
  <si>
    <t>Länge aller Scheiben</t>
  </si>
  <si>
    <t>Anzahl Endscheiben</t>
  </si>
  <si>
    <r>
      <t>S</t>
    </r>
    <r>
      <rPr>
        <sz val="10"/>
        <rFont val="Arial"/>
        <family val="2"/>
      </rPr>
      <t xml:space="preserve"> =</t>
    </r>
  </si>
  <si>
    <t xml:space="preserve">Kartonringe bestellt am 21.8.2001, bei </t>
  </si>
  <si>
    <t xml:space="preserve"> Adipac AG, Dichtungsfabrik</t>
  </si>
  <si>
    <r>
      <t xml:space="preserve">Preis 230.- </t>
    </r>
    <r>
      <rPr>
        <sz val="10"/>
        <rFont val="Arial"/>
        <family val="2"/>
      </rPr>
      <t>pauschal (bei Barzahlung)</t>
    </r>
  </si>
  <si>
    <t>Preis [Fr]</t>
  </si>
  <si>
    <t>Gewerbestr.12, 4123 Allschwil</t>
  </si>
  <si>
    <t>Kleine Ringe    85x73x3mm; 90 Stk. à 1.10</t>
  </si>
  <si>
    <t>Tel. 061 / 487 91 91</t>
  </si>
  <si>
    <t>Grosse Ringe 185x73x2mm; 60 Stk. à 2.50</t>
  </si>
  <si>
    <t>Hr. Meier verlangen!</t>
  </si>
  <si>
    <t>Termin: 31.8.2001, abholen</t>
  </si>
  <si>
    <t>Total wäre:</t>
  </si>
  <si>
    <t>Flachspulen- oder Scheibenwicklung</t>
  </si>
  <si>
    <t>Scheibenwicklung</t>
  </si>
  <si>
    <t>Grob-Schätzung der Windungszahl</t>
  </si>
  <si>
    <t>Widerstand:</t>
  </si>
  <si>
    <t xml:space="preserve">Wenn Ideal-Packung: </t>
  </si>
  <si>
    <t>dichtest</t>
  </si>
  <si>
    <t>ddraht</t>
  </si>
  <si>
    <t>Drahtdurchmesser ddraht  =</t>
  </si>
  <si>
    <t>Drahtdurchmesser (mit Isolation) ddraht =</t>
  </si>
  <si>
    <t>Dicke der Isolierschicht</t>
  </si>
  <si>
    <t>Drahtdurchmesser (ohne Isolation) dcu =</t>
  </si>
  <si>
    <t>Di =</t>
  </si>
  <si>
    <t xml:space="preserve"> -</t>
  </si>
  <si>
    <t xml:space="preserve">Da = </t>
  </si>
  <si>
    <t>Di/Da =</t>
  </si>
  <si>
    <t>Windungen / Scheibenbreite =</t>
  </si>
  <si>
    <t>L[uH]=(0.2*a^2*n^2)/(3*a+9*b+10*c)</t>
  </si>
  <si>
    <r>
      <t xml:space="preserve">Höhe pro Lage (=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Zunahme/Lage) =</t>
    </r>
  </si>
  <si>
    <t>Anzahl Lagen = (Da - Di)/ Höhe pro Lage =</t>
  </si>
  <si>
    <t>Scheiben-Breite =</t>
  </si>
  <si>
    <t>mm + Isolation</t>
  </si>
  <si>
    <t>Wdg/Scheibe = Lagen x Wdg. Pro Lage =</t>
  </si>
  <si>
    <t>a=(Di+Da)/2</t>
  </si>
  <si>
    <t>Grieder Relais,TriacsT1616NJ,6.3A Sich.F</t>
  </si>
  <si>
    <t>Kupfergewicht/Scheibe =</t>
  </si>
  <si>
    <t>kg (ca.)</t>
  </si>
  <si>
    <t>Total Wdg.= Anz.Scheiben x Wdg./Sch.=</t>
  </si>
  <si>
    <t>b=</t>
  </si>
  <si>
    <t>Übersetzungsverhältnis  ü =</t>
  </si>
  <si>
    <t>c=(Da-Di)/2</t>
  </si>
  <si>
    <t>Drahtlänge in [m] =</t>
  </si>
  <si>
    <t>n=</t>
  </si>
  <si>
    <t>Gewicht des Kupfers G = Dichte x L x q =</t>
  </si>
  <si>
    <t>Dichte von Kupfer</t>
  </si>
  <si>
    <t>Ohm'scher Widerstand R = Rho x L /q =</t>
  </si>
  <si>
    <t>L[uH]=</t>
  </si>
  <si>
    <t>Leitfähigkeit von Kupfer (20C)</t>
  </si>
  <si>
    <t>Induktivität in Luft (in mH) =</t>
  </si>
  <si>
    <t>L[mH] =</t>
  </si>
  <si>
    <t>Messungen:</t>
  </si>
  <si>
    <t>Gewicht inkl. Isolation kg</t>
  </si>
  <si>
    <t>Ohm'scher Widerstand R</t>
  </si>
  <si>
    <t>Diese Formel scheint besser !!!</t>
  </si>
  <si>
    <t>Induktivität in Luft [mH]</t>
  </si>
  <si>
    <t xml:space="preserve">Messung 26 Scheiben total: </t>
  </si>
  <si>
    <t>Prozent-Fehler in L: Berechnung - Messung =</t>
  </si>
  <si>
    <t xml:space="preserve">        idealpackung:</t>
  </si>
  <si>
    <t xml:space="preserve">Scheiben: </t>
  </si>
  <si>
    <t>induc_Phywe_L1.fem</t>
  </si>
  <si>
    <t>induc_Phywe_L2.fem</t>
  </si>
  <si>
    <t>A )</t>
  </si>
  <si>
    <r>
      <t>&lt;-- muss &lt;  i</t>
    </r>
    <r>
      <rPr>
        <vertAlign val="subscript"/>
        <sz val="14"/>
        <rFont val="Arial"/>
        <family val="2"/>
      </rPr>
      <t>∞</t>
    </r>
    <r>
      <rPr>
        <sz val="10"/>
        <rFont val="Arial"/>
        <family val="2"/>
      </rPr>
      <t xml:space="preserve"> sein!</t>
    </r>
  </si>
  <si>
    <r>
      <t xml:space="preserve">                       (  Endstrom (t=∞)  i</t>
    </r>
    <r>
      <rPr>
        <vertAlign val="subscript"/>
        <sz val="14"/>
        <rFont val="Arial"/>
        <family val="2"/>
      </rPr>
      <t>∞</t>
    </r>
    <r>
      <rPr>
        <sz val="10"/>
        <rFont val="Arial"/>
        <family val="2"/>
      </rPr>
      <t xml:space="preserve"> = </t>
    </r>
  </si>
  <si>
    <r>
      <t xml:space="preserve">                         Endstrom (t=∞)  i</t>
    </r>
    <r>
      <rPr>
        <vertAlign val="subscript"/>
        <sz val="14"/>
        <rFont val="Arial"/>
        <family val="2"/>
      </rPr>
      <t>∞</t>
    </r>
    <r>
      <rPr>
        <sz val="10"/>
        <rFont val="Arial"/>
        <family val="2"/>
      </rPr>
      <t xml:space="preserve"> = Uo/R =</t>
    </r>
  </si>
  <si>
    <t>Grieder Dimmer, V-Meter, Snubber R</t>
  </si>
  <si>
    <r>
      <t>i = i</t>
    </r>
    <r>
      <rPr>
        <b/>
        <vertAlign val="subscript"/>
        <sz val="14"/>
        <rFont val="Arial"/>
        <family val="2"/>
      </rPr>
      <t>∞</t>
    </r>
    <r>
      <rPr>
        <b/>
        <sz val="10"/>
        <rFont val="Arial"/>
        <family val="2"/>
      </rPr>
      <t xml:space="preserve"> * [ 1 - exp(-t/</t>
    </r>
    <r>
      <rPr>
        <b/>
        <sz val="10"/>
        <rFont val="Symbol"/>
        <family val="1"/>
        <charset val="2"/>
      </rPr>
      <t>t</t>
    </r>
    <r>
      <rPr>
        <b/>
        <sz val="10"/>
        <rFont val="Arial"/>
        <family val="2"/>
      </rPr>
      <t>) ]</t>
    </r>
  </si>
  <si>
    <t>don't</t>
  </si>
  <si>
    <t>remove !</t>
  </si>
  <si>
    <r>
      <t>inductance in air L</t>
    </r>
    <r>
      <rPr>
        <vertAlign val="subscript"/>
        <sz val="10"/>
        <rFont val="Arial"/>
        <family val="2"/>
      </rPr>
      <t>air</t>
    </r>
  </si>
  <si>
    <r>
      <t xml:space="preserve">der EISENKERN </t>
    </r>
    <r>
      <rPr>
        <sz val="10"/>
        <rFont val="Arial"/>
        <family val="2"/>
      </rPr>
      <t>(siehe auch Sheet "Kern")</t>
    </r>
  </si>
  <si>
    <t>benötiget Eisenmasse</t>
  </si>
  <si>
    <t>Durchmesser des kerns</t>
  </si>
  <si>
    <t>physikalische Länge</t>
  </si>
  <si>
    <t>magnetische Länge</t>
  </si>
  <si>
    <t>Querschnittsfläche (brutto)</t>
  </si>
  <si>
    <t>Querschnittsfläche (netto Eisen)</t>
  </si>
  <si>
    <t>Isolierrohr für Kern:</t>
  </si>
  <si>
    <t>Rohrlänge</t>
  </si>
  <si>
    <t>Wandstärke</t>
  </si>
  <si>
    <t>Eisenkern</t>
  </si>
  <si>
    <t>Primärspule</t>
  </si>
  <si>
    <t>die Wicklung</t>
  </si>
  <si>
    <t>Drahtdurchmesser (Kupfer)</t>
  </si>
  <si>
    <t>Drahtdurchmesser (isoliert)</t>
  </si>
  <si>
    <t>Drahtquerschnitt</t>
  </si>
  <si>
    <t>Anzahl Lagen</t>
  </si>
  <si>
    <t>Anzahl Windungen total</t>
  </si>
  <si>
    <t>radiale Wicklungstiefe</t>
  </si>
  <si>
    <r>
      <t>S</t>
    </r>
    <r>
      <rPr>
        <sz val="10"/>
        <rFont val="Arial"/>
        <family val="2"/>
      </rPr>
      <t xml:space="preserve"> aller Isolationen (radial)</t>
    </r>
  </si>
  <si>
    <t>innerer Wicklungsdurchmesser</t>
  </si>
  <si>
    <t>äusserer Wicklungsdurchmesser</t>
  </si>
  <si>
    <r>
      <t xml:space="preserve">Aussen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Rohr</t>
    </r>
  </si>
  <si>
    <r>
      <t xml:space="preserve">Innen   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Rohr</t>
    </r>
  </si>
  <si>
    <t>mittlere Länge einer Windung</t>
  </si>
  <si>
    <t>totale Drahtlänge</t>
  </si>
  <si>
    <t>Kupfergewicht primär</t>
  </si>
  <si>
    <t>Primär-Isolierrohr:</t>
  </si>
  <si>
    <t>Wicklungsquerschnitt</t>
  </si>
  <si>
    <t>Kupferquerschnitt</t>
  </si>
  <si>
    <t>Kupfer-Füllfaktor</t>
  </si>
  <si>
    <t>die Lagen</t>
  </si>
  <si>
    <r>
      <t>S</t>
    </r>
    <r>
      <rPr>
        <sz val="10"/>
        <rFont val="Arial"/>
        <family val="2"/>
      </rPr>
      <t xml:space="preserve"> aller Iso's+Leerräume (radial)</t>
    </r>
  </si>
  <si>
    <t>radiale Wicklungstiefe (Draht)</t>
  </si>
  <si>
    <t>radiale Wicklungstiefe (total)</t>
  </si>
  <si>
    <t>Wdg.äusserste Lage</t>
  </si>
  <si>
    <t>Wdg.Abnahme /Lage</t>
  </si>
  <si>
    <t>Breitenabnahme/Lage</t>
  </si>
  <si>
    <t>inn. Wicklungsbreite</t>
  </si>
  <si>
    <t>mittl. Wicklungsbreite</t>
  </si>
  <si>
    <t>äuss. Wicklungsbreite</t>
  </si>
  <si>
    <t>Leerraum / Lage</t>
  </si>
  <si>
    <t>Zwischenisol./ Lage</t>
  </si>
  <si>
    <t>mm/lage</t>
  </si>
  <si>
    <t>Allgemein</t>
  </si>
  <si>
    <t>Primär</t>
  </si>
  <si>
    <t>Sekundär</t>
  </si>
  <si>
    <t>Primär-Speisespannung E</t>
  </si>
  <si>
    <t>Unterbrechungsfrequenz f</t>
  </si>
  <si>
    <t>Primärstrom i</t>
  </si>
  <si>
    <t>Stromdichte im Primärdraht</t>
  </si>
  <si>
    <t>DC Widerstand Primärwicklung</t>
  </si>
  <si>
    <t>Induktivität für</t>
  </si>
  <si>
    <r>
      <t xml:space="preserve">Zeitkonstante </t>
    </r>
    <r>
      <rPr>
        <sz val="10"/>
        <rFont val="Symbol"/>
        <family val="1"/>
        <charset val="2"/>
      </rPr>
      <t>t</t>
    </r>
    <r>
      <rPr>
        <sz val="10"/>
        <rFont val="Arial"/>
        <family val="2"/>
      </rPr>
      <t xml:space="preserve"> = L/R</t>
    </r>
  </si>
  <si>
    <t>kickback von sec. @ Funken-U2</t>
  </si>
  <si>
    <t>Übersetz.Verh. N2:N1</t>
  </si>
  <si>
    <r>
      <t>Induktivität in Luft L</t>
    </r>
    <r>
      <rPr>
        <vertAlign val="subscript"/>
        <sz val="10"/>
        <rFont val="Arial"/>
        <family val="2"/>
      </rPr>
      <t>air</t>
    </r>
  </si>
  <si>
    <t>DC Widerstand</t>
  </si>
  <si>
    <t>Stromdichte</t>
  </si>
  <si>
    <t>zulässiger Strom</t>
  </si>
  <si>
    <t>Kupferverlust</t>
  </si>
  <si>
    <t>Funkenlänge</t>
  </si>
  <si>
    <t>Überschlagsspg. gemäss AIEE</t>
  </si>
  <si>
    <t>Sekundärstrom</t>
  </si>
  <si>
    <t>output Leistung (zum Funken)</t>
  </si>
  <si>
    <t>input Leistung (zur Primärspule)</t>
  </si>
  <si>
    <t xml:space="preserve">Wirkungsgrad (30%...60%max) </t>
  </si>
  <si>
    <t>mag. Flussdichte   B</t>
  </si>
  <si>
    <r>
      <t xml:space="preserve">mag. Fluss           </t>
    </r>
    <r>
      <rPr>
        <sz val="10"/>
        <rFont val="Symbol"/>
        <family val="1"/>
        <charset val="2"/>
      </rPr>
      <t>F</t>
    </r>
  </si>
  <si>
    <r>
      <t xml:space="preserve">effective permeab.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r</t>
    </r>
  </si>
  <si>
    <t>Lage 1</t>
  </si>
  <si>
    <t>Lage 2</t>
  </si>
  <si>
    <t>129 Wdg</t>
  </si>
  <si>
    <t>127 Wdg</t>
  </si>
  <si>
    <t>M.A.Codd's (1922-) Induktor Entwurfs Verfahren</t>
  </si>
  <si>
    <t>Resultatübersicht: Elektrische Daten</t>
  </si>
  <si>
    <t>Resultatübersicht: Mechanische Daten</t>
  </si>
  <si>
    <t>Messung Kern-Isolierrohr:</t>
  </si>
  <si>
    <r>
      <t xml:space="preserve">34.7...35 x 31.1...31.8 mm </t>
    </r>
    <r>
      <rPr>
        <sz val="10"/>
        <rFont val="Symbol"/>
        <family val="1"/>
        <charset val="2"/>
      </rPr>
      <t>f</t>
    </r>
  </si>
  <si>
    <t>252 Wdg.; Lair=332.0uH; Q=8.49; Gewicht=833g (mit Rohr)</t>
  </si>
  <si>
    <t>248 Wdg.; Lair=319.3uH; Q=8.31; Gewicht=810g (mit Rohr)</t>
  </si>
  <si>
    <t>2 Primärspulen, gewickelt 8.11.2004 (Andi)</t>
  </si>
  <si>
    <r>
      <t>i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*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t</t>
    </r>
  </si>
  <si>
    <t>Irms =</t>
  </si>
  <si>
    <t>2 Primärspulen, gewickelt 9.11.2004 (Andi)</t>
  </si>
  <si>
    <t>492 Wdg.; Lair=1206uH; Q=11.2; Gewicht=1127g (mit Rohr); R~0.6Ohm</t>
  </si>
  <si>
    <t>492 Wdg.; Lair=1211uH; Q=11.3; Gewicht=1127g (mit Rohr); R~0.6Ohm</t>
  </si>
  <si>
    <t>252 Wdg.; LFe=7.11mH; Q=21; @ 1kHz Induktivitätsmessgerät</t>
  </si>
  <si>
    <t>252 Wdg.; LFe=7.22mH; Q=21; @ 120Hz Induktivitätsmessgerät</t>
  </si>
  <si>
    <t>Kerngewicht: 1255..1270g</t>
  </si>
  <si>
    <t>492 Wdg.; LFe=24.63mH; Q=22.4; @ 1kHz Induktivitätsmessgerät</t>
  </si>
  <si>
    <t>492 Wdg.; LFe=24.79mH; Q=25.0; @ 120Hz Induktivitätsmessgerät</t>
  </si>
  <si>
    <t>effektive Permeabilität:</t>
  </si>
  <si>
    <t>Blumendraht: dblank=0.72mm; disol=0.735..0.74</t>
  </si>
  <si>
    <t>Ehrmann-Balboni Basel AG Tel.061 335 60 60</t>
  </si>
  <si>
    <t xml:space="preserve">Kern aus Blumendraht, 10.11.2004, </t>
  </si>
  <si>
    <t>Reinacherstrasse 117</t>
  </si>
  <si>
    <r>
      <t xml:space="preserve">Warning: Dense winding is </t>
    </r>
    <r>
      <rPr>
        <b/>
        <u/>
        <sz val="10"/>
        <color indexed="10"/>
        <rFont val="Arial"/>
        <family val="2"/>
      </rPr>
      <t>not possible</t>
    </r>
    <r>
      <rPr>
        <b/>
        <sz val="10"/>
        <color indexed="10"/>
        <rFont val="Arial"/>
        <family val="2"/>
      </rPr>
      <t>, when winding a primary !</t>
    </r>
  </si>
  <si>
    <r>
      <t>S</t>
    </r>
    <r>
      <rPr>
        <sz val="10"/>
        <rFont val="Arial"/>
        <family val="2"/>
      </rPr>
      <t xml:space="preserve"> Breite aller Scheiben =</t>
    </r>
  </si>
  <si>
    <t>Kupfergewicht G = Dichte x L x q =</t>
  </si>
  <si>
    <t>Spez.Wid. von Kupfer (20C)</t>
  </si>
  <si>
    <t xml:space="preserve">Drahtdurchmesser      dcu =  </t>
  </si>
  <si>
    <t>Scheiben-Breite (Lücke)</t>
  </si>
  <si>
    <t>Scheiben-Breite (aussen)</t>
  </si>
  <si>
    <t>Wdg/Scheibe = Lagen x Wdg. / Lage =</t>
  </si>
  <si>
    <t>Lagenzahl = 0.5*(Da-Di)/ (Höhe / Lage) =</t>
  </si>
  <si>
    <r>
      <t xml:space="preserve">Höhe / Lage (=0.5*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Zunahme/Lage) =</t>
    </r>
  </si>
  <si>
    <t>Drahtdurchmesser (isoliert) ddraht =</t>
  </si>
  <si>
    <t>Drahtdurchmesser  (blank)     dcu =</t>
  </si>
  <si>
    <t>American</t>
  </si>
  <si>
    <t>British</t>
  </si>
  <si>
    <t>&lt;--- in reality 7.75 mm (measured!); high density winding! ???</t>
  </si>
  <si>
    <t>mm ---&gt; Da=</t>
  </si>
  <si>
    <t>&lt;---bei Sk vorhd</t>
  </si>
  <si>
    <t>&lt;--- bisheriges Design (17.11.04)</t>
  </si>
  <si>
    <t xml:space="preserve"> with ü = n2/n1 instead</t>
  </si>
  <si>
    <t>of usually ü=n1/n2</t>
  </si>
  <si>
    <r>
      <t>(≡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</si>
  <si>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&lt;───────┘</t>
  </si>
  <si>
    <t>(gilt für Spitze↔Spitze)</t>
  </si>
  <si>
    <t>Spitze↔Spitze</t>
  </si>
  <si>
    <r>
      <t xml:space="preserve">( </t>
    </r>
    <r>
      <rPr>
        <sz val="10"/>
        <rFont val="Symbol"/>
        <family val="1"/>
        <charset val="2"/>
      </rPr>
      <t>t</t>
    </r>
    <r>
      <rPr>
        <sz val="10"/>
        <rFont val="Arial"/>
        <family val="2"/>
      </rPr>
      <t xml:space="preserve"> = L/R =</t>
    </r>
  </si>
  <si>
    <t>msec)</t>
  </si>
  <si>
    <r>
      <t xml:space="preserve">Zeitkonstante  </t>
    </r>
    <r>
      <rPr>
        <sz val="10"/>
        <rFont val="Symbol"/>
        <family val="1"/>
        <charset val="2"/>
      </rPr>
      <t>t</t>
    </r>
    <r>
      <rPr>
        <sz val="10"/>
        <rFont val="Arial"/>
        <family val="2"/>
      </rPr>
      <t xml:space="preserve"> = L/R =</t>
    </r>
  </si>
  <si>
    <t>Selbstbau INDUKTORENTWURF</t>
  </si>
  <si>
    <t xml:space="preserve">   für Hochspannungsfreunde</t>
  </si>
  <si>
    <t>Kosten:</t>
  </si>
  <si>
    <t>Blumendrahtkern (2kg 0.5mm Draht)</t>
  </si>
  <si>
    <t>PVC-Rohr 53x50mm durchmesser</t>
  </si>
  <si>
    <t>Trafoblech 0.35mm Kern</t>
  </si>
  <si>
    <t>gratis!</t>
  </si>
  <si>
    <t>Sekundär Kartonscheiben</t>
  </si>
  <si>
    <t>&lt;---bei Sk vorhd / für 30000 Wdg. gerechnet</t>
  </si>
  <si>
    <t>252 Wdg.; LFe=11.07mH; Q=29.3; @ 1kHz Induktivitätsmessgerät</t>
  </si>
  <si>
    <t>H (@120Hz)</t>
  </si>
  <si>
    <t>H (@1kHz)</t>
  </si>
  <si>
    <t>Q=23.4</t>
  </si>
  <si>
    <t>Q=6.81 ?</t>
  </si>
  <si>
    <t>Q=41.5</t>
  </si>
  <si>
    <t>Q=23.6</t>
  </si>
  <si>
    <t>Mit Blechkern 1505g: LCR-Meter-Messung</t>
  </si>
  <si>
    <t>Blechkern: Kerngewicht 1505g</t>
  </si>
  <si>
    <t>48160 Wdg.; LFe=767.6H; Q=6.81; @ 1kHz Induktivitätsmessgerät</t>
  </si>
  <si>
    <t>48160 Wdg.; LFe=401.7H; Q=23.4; @ 120Hz Induktivitätsmessgerät</t>
  </si>
  <si>
    <t>H (in Luft)</t>
  </si>
  <si>
    <t xml:space="preserve"> @ 1kHz</t>
  </si>
  <si>
    <t xml:space="preserve"> @ 120Hz</t>
  </si>
  <si>
    <t>&lt;-- fraglich!</t>
  </si>
  <si>
    <t>25600 Wdg.;LFe=126.6H; Q=23.6; @ 1kHz Induktivitätsmessgerät</t>
  </si>
  <si>
    <t>25600 Wdg.;LFe=111.9H; Q=41.5; @ 120Hz Induktivitätsmessgerät</t>
  </si>
  <si>
    <t>252 Wdg.; LFe=11.17mH; Q=20.3; @ 120Hz Induktivitätsmessgerät</t>
  </si>
  <si>
    <t>pro kg</t>
  </si>
  <si>
    <t>Tschopp Paraffin (22.11.04)</t>
  </si>
  <si>
    <t>Wickeldrähte: Langer, Arlesheim</t>
  </si>
  <si>
    <t>Dmr</t>
  </si>
  <si>
    <t>Preis/kg</t>
  </si>
  <si>
    <t>Umspulkosten</t>
  </si>
  <si>
    <t>Total</t>
  </si>
  <si>
    <t>Acrylglas rohre 50x46mm (3 Stk. à 36.5cm)</t>
  </si>
  <si>
    <t>Folie schwarz für Aussenabdeckung 1.5m</t>
  </si>
  <si>
    <t>Kleiner Induktor 2004: 26k/252 Windungen</t>
  </si>
  <si>
    <t>Kleiner Induktor 2004: 48k/492 Windungen</t>
  </si>
  <si>
    <t>mm real</t>
  </si>
  <si>
    <t>Wickeldraht Nexans 0.265Cu / doppelt iso</t>
  </si>
  <si>
    <t>Blumendrahtkern:</t>
  </si>
  <si>
    <t>492 Wdg.; LFe=38.48mH; Q=32.7; @ 1kHz Induktivitätsmessgerät</t>
  </si>
  <si>
    <t>492 Wdg.; LFe=38.93mH; Q=33.6; @ 120Hz Induktivitätsmessgerät</t>
  </si>
  <si>
    <t>Gewicht</t>
  </si>
  <si>
    <t>gemessen:</t>
  </si>
  <si>
    <t>Blechkern: Kerngewicht 1490g</t>
  </si>
  <si>
    <t>4 Holzrondellen Dmr.120mm, Tschopp</t>
  </si>
  <si>
    <t>Paraffin, 1.6kg, Tschopp</t>
  </si>
  <si>
    <t>inner length of winding; approx.</t>
  </si>
  <si>
    <t>Kreisschneider, 2...15cm, Papyrus</t>
  </si>
  <si>
    <t>Löschpapier 44x58cm, 1.60/Bogen, 4Stk.</t>
  </si>
  <si>
    <t>Bratenthermometer, Migros</t>
  </si>
  <si>
    <t>Paraffin, 1.6kg, Tschopp zurück</t>
  </si>
  <si>
    <t>Paraffin, 2.5kg, Drogerie Granert/Glasstetter</t>
  </si>
  <si>
    <t>Tschopp, M4-Stängeli,M6x50 Schrauben</t>
  </si>
  <si>
    <t>Grieder 5 VDR's/ à -.90</t>
  </si>
  <si>
    <t>Grieder 2m Schrumpfschluch à 1.90/m</t>
  </si>
  <si>
    <t>Tschopp, Rondelle 16cm</t>
  </si>
  <si>
    <t>Tschopp, 3 Rondellen 16cm à 1.80</t>
  </si>
  <si>
    <t>Berechnung für 1 Scheibe</t>
  </si>
  <si>
    <t>Berechnung für ganze Wicklung</t>
  </si>
  <si>
    <t>Messung L =</t>
  </si>
  <si>
    <t>Abweichung</t>
  </si>
  <si>
    <t>mm (Exp. 103.5-105mm)</t>
  </si>
  <si>
    <t>Tschopp, Beize Mahagony hell</t>
  </si>
  <si>
    <t>Tschopp, M4-Stängeli, 4 Rondellen,...</t>
  </si>
  <si>
    <t>Coop, Rohr,EndPVC,Nylon Schr.,Abl.Stopf.</t>
  </si>
  <si>
    <t>Paraffinieren</t>
  </si>
  <si>
    <t>Dbüchse=</t>
  </si>
  <si>
    <t>Dspule =</t>
  </si>
  <si>
    <t>Lspule =</t>
  </si>
  <si>
    <t>Lunterend =</t>
  </si>
  <si>
    <t>Loberend =</t>
  </si>
  <si>
    <t>Volumen um Spule =</t>
  </si>
  <si>
    <t>Volumen unten       =</t>
  </si>
  <si>
    <t>Volumen oben        =</t>
  </si>
  <si>
    <t>Vol. Paraffin   =</t>
  </si>
  <si>
    <t>Gewicht Paraffin =</t>
  </si>
  <si>
    <t>Dichte Paraffin =</t>
  </si>
  <si>
    <t>Prozent-Fehler in R: Berechnung - Messung =</t>
  </si>
  <si>
    <t>Ohm'scher Wid. R / 1 pie</t>
  </si>
  <si>
    <t xml:space="preserve">R (für DC) total: </t>
  </si>
  <si>
    <t>mm (Exp. 94mm m.4iso)</t>
  </si>
  <si>
    <r>
      <t>Ideal</t>
    </r>
    <r>
      <rPr>
        <sz val="10"/>
        <rFont val="Arial"/>
        <family val="2"/>
      </rPr>
      <t xml:space="preserve">- auf </t>
    </r>
    <r>
      <rPr>
        <sz val="10"/>
        <color indexed="10"/>
        <rFont val="Arial"/>
        <family val="2"/>
      </rPr>
      <t>Wild</t>
    </r>
    <r>
      <rPr>
        <sz val="10"/>
        <rFont val="Arial"/>
        <family val="2"/>
      </rPr>
      <t>wicklungs-multplikator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fiw =</t>
    </r>
  </si>
  <si>
    <t>Scheinbarer Drahtdurchm. (=ddraht*fiw) =</t>
  </si>
  <si>
    <t>Kupfergewicht total      =</t>
  </si>
  <si>
    <t>Wicklungsquerschnitt (brutto)</t>
  </si>
  <si>
    <t xml:space="preserve">Wicklungshöhe  (radial) </t>
  </si>
  <si>
    <t>Wicklungsbreite (axial)</t>
  </si>
  <si>
    <t>Wicklungsquerschnitt (Cu)</t>
  </si>
  <si>
    <t>mm (ohne Isolation)</t>
  </si>
  <si>
    <r>
      <t xml:space="preserve">Innen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Wicklung         Di =</t>
    </r>
  </si>
  <si>
    <r>
      <t xml:space="preserve">Aussen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Wicklung     Da = </t>
    </r>
  </si>
  <si>
    <t>mm (mit Isolationen)</t>
  </si>
  <si>
    <t>Wdg</t>
  </si>
  <si>
    <t>Windungszahl backcheck</t>
  </si>
  <si>
    <t>M.A.Codd's (1922-) Induction Coil Design Procedure</t>
  </si>
  <si>
    <t>Units:</t>
  </si>
  <si>
    <t>Needle Point Sparklength[cm] &lt;---&gt; Voltage[kV] correlation</t>
  </si>
  <si>
    <t>Metric</t>
  </si>
  <si>
    <t>English for</t>
  </si>
  <si>
    <t>1.) Output power of the coil</t>
  </si>
  <si>
    <t>for my input</t>
  </si>
  <si>
    <t>Codd's calc.</t>
  </si>
  <si>
    <t>Based on results of the American Institute of Electric Engineers</t>
  </si>
  <si>
    <t>Spark length</t>
  </si>
  <si>
    <t>cm</t>
  </si>
  <si>
    <t>inch</t>
  </si>
  <si>
    <t>Spark voltake by Codd's Fig.66 or AIEE</t>
  </si>
  <si>
    <t>V</t>
  </si>
  <si>
    <t>…from correlation of sparks between needle points</t>
  </si>
  <si>
    <t>Secondary current as by hot wire ammeter</t>
  </si>
  <si>
    <t>mA</t>
  </si>
  <si>
    <t>y=(a+cx+ex^2+gx^3+ix^4+kx^5)/(1+bx+dx^2+fx^3+hx^4+jx^5) [NL]</t>
  </si>
  <si>
    <t>Output power (=secondary) volt-amperes</t>
  </si>
  <si>
    <t>VA</t>
  </si>
  <si>
    <t>Parameters</t>
  </si>
  <si>
    <t>Values</t>
  </si>
  <si>
    <t>Std Error</t>
  </si>
  <si>
    <t>T Value</t>
  </si>
  <si>
    <t>95% Conf Lim</t>
  </si>
  <si>
    <t>Eqn</t>
  </si>
  <si>
    <t>a</t>
  </si>
  <si>
    <t>2.) Input power to the coil</t>
  </si>
  <si>
    <t>Eqn #</t>
  </si>
  <si>
    <t>b</t>
  </si>
  <si>
    <t xml:space="preserve">Efficiency (0.3...0.6max) </t>
  </si>
  <si>
    <t>[ - ]</t>
  </si>
  <si>
    <t>0.3 to 0.6 recommended!</t>
  </si>
  <si>
    <t>r2</t>
  </si>
  <si>
    <t>c</t>
  </si>
  <si>
    <t>Input power (=primary) volt-amperes</t>
  </si>
  <si>
    <t>DF Adj r2</t>
  </si>
  <si>
    <t>d</t>
  </si>
  <si>
    <t>Fit Std Err</t>
  </si>
  <si>
    <t>e</t>
  </si>
  <si>
    <t>3.) Mass of iron required</t>
  </si>
  <si>
    <t>F-stat</t>
  </si>
  <si>
    <t>f</t>
  </si>
  <si>
    <t>Mass of iron per 1kVA input power</t>
  </si>
  <si>
    <t>kg/kVA</t>
  </si>
  <si>
    <t>lbs/kVA</t>
  </si>
  <si>
    <t>15 lbs/kVA recommended</t>
  </si>
  <si>
    <t>Date</t>
  </si>
  <si>
    <t>Oct 13, 2004</t>
  </si>
  <si>
    <t>g</t>
  </si>
  <si>
    <t>kg</t>
  </si>
  <si>
    <t>lb</t>
  </si>
  <si>
    <t>Time</t>
  </si>
  <si>
    <t>h</t>
  </si>
  <si>
    <t>i</t>
  </si>
  <si>
    <t>j</t>
  </si>
  <si>
    <t>Length/Diameter ration of iron core L/D</t>
  </si>
  <si>
    <t>L/D in range 6 to 15 in graphs Fig's.163 &amp; 164</t>
  </si>
  <si>
    <t>k</t>
  </si>
  <si>
    <t>Apparent density of core material</t>
  </si>
  <si>
    <t>Volume of iron core</t>
  </si>
  <si>
    <t>Diameter of iron core</t>
  </si>
  <si>
    <t>Length of iron core</t>
  </si>
  <si>
    <t>bulk cross-section area of iron core</t>
  </si>
  <si>
    <t>net iron area = 0.9 x the bulk values</t>
  </si>
  <si>
    <t>Magnetic length</t>
  </si>
  <si>
    <t xml:space="preserve">     Insert 1: Primary detailcalculations</t>
  </si>
  <si>
    <t>Primary supply voltage E</t>
  </si>
  <si>
    <t>Frequency of interruptions f</t>
  </si>
  <si>
    <t>BPS</t>
  </si>
  <si>
    <t xml:space="preserve">Primary current   i </t>
  </si>
  <si>
    <t>A</t>
  </si>
  <si>
    <t>Codd named current as C !!!</t>
  </si>
  <si>
    <t>Primary inductance Lp</t>
  </si>
  <si>
    <t>H</t>
  </si>
  <si>
    <t>Z  = coefficient from Codd's Fig.71, below</t>
  </si>
  <si>
    <t>Number of primary turns</t>
  </si>
  <si>
    <t>Current density in primary wire</t>
  </si>
  <si>
    <t>Wire cross section</t>
  </si>
  <si>
    <t>Bare wire diameter approximate</t>
  </si>
  <si>
    <t>mm</t>
  </si>
  <si>
    <t>Bare wire diameter choosen</t>
  </si>
  <si>
    <t>Insulated wire diameter</t>
  </si>
  <si>
    <t>from wire table or experiment</t>
  </si>
  <si>
    <t>Turns per unit length calculated</t>
  </si>
  <si>
    <t>turns/cm</t>
  </si>
  <si>
    <t>turns/inch</t>
  </si>
  <si>
    <t>Turns per unit length real</t>
  </si>
  <si>
    <t>Winding length of all</t>
  </si>
  <si>
    <t>turns</t>
  </si>
  <si>
    <t>No. of layers for magnetic length winding</t>
  </si>
  <si>
    <t>No. of layers choosen</t>
  </si>
  <si>
    <t>choice of 1/2 to 1 layer more than formula recommended</t>
  </si>
  <si>
    <t>Winding length choosen</t>
  </si>
  <si>
    <t>Total turns adjusted to choice</t>
  </si>
  <si>
    <t>Bore of insulating tube</t>
  </si>
  <si>
    <t>Insulating tube length</t>
  </si>
  <si>
    <t>equal to iron core length or more!</t>
  </si>
  <si>
    <t xml:space="preserve">     End of insert 1: Primary detail-calculations</t>
  </si>
  <si>
    <t>6.) Length of secondary = 80% of magnetic length</t>
  </si>
  <si>
    <t>Secondary length</t>
  </si>
  <si>
    <t xml:space="preserve">     Insert 2: Secondary detail-calculations</t>
  </si>
  <si>
    <t>Transformation ratio     N2:N1</t>
  </si>
  <si>
    <t>recommended: down 75 for large coils to 150 for small coils</t>
  </si>
  <si>
    <t>Turns per unit length of spark</t>
  </si>
  <si>
    <t>5000 turns/inch for medium coils; less for large- more for small coils</t>
  </si>
  <si>
    <t>magnetic flux density      B</t>
  </si>
  <si>
    <t>Gauss</t>
  </si>
  <si>
    <t xml:space="preserve"> 60k to 80k "lines/square inch" recommended (0.93 - 1.24 Tesla)</t>
  </si>
  <si>
    <t>Maxwell</t>
  </si>
  <si>
    <t>lines</t>
  </si>
  <si>
    <t>a) Turns from transformation ratio     N2:N1</t>
  </si>
  <si>
    <t>b) Turns from turns per unit length of spark</t>
  </si>
  <si>
    <t>turns from a) and b) should be about equal !</t>
  </si>
  <si>
    <t>approx. kickback sec. to prim. @ spark U2</t>
  </si>
  <si>
    <t>&lt;---- spark gap acts as a voltage limiter !</t>
  </si>
  <si>
    <t>Looking at the inductor as a transformer with sinusoidal supply voltage (--&gt; Kurt's test-insert )</t>
  </si>
  <si>
    <t>looking at it as a trafo with sinusoid supply</t>
  </si>
  <si>
    <t>Veff</t>
  </si>
  <si>
    <t>...this turn per Volt thing</t>
  </si>
  <si>
    <t>...resulting in a primary turn number of N1</t>
  </si>
  <si>
    <t>apparent power S, from spark &lt;U,i&gt; input</t>
  </si>
  <si>
    <t xml:space="preserve">   VA, Hz, Gauss, cm2, [-], A</t>
  </si>
  <si>
    <t>N = S / [sqrt(2)*pi() * f * (B * AFe) *  i * 1E-8]</t>
  </si>
  <si>
    <t>AFe = S / [sqrt(2)*pi() * f * B  * (N * i) * 1E-8]</t>
  </si>
  <si>
    <t xml:space="preserve">    for N    known</t>
  </si>
  <si>
    <t>LAYER TYPE SECONDARY  calculations</t>
  </si>
  <si>
    <t>From ARRL Handbook 57 / p27</t>
  </si>
  <si>
    <t>number of turns, total</t>
  </si>
  <si>
    <t>n=number of turns (total)</t>
  </si>
  <si>
    <t>inner diameter</t>
  </si>
  <si>
    <t>a=avg.diameter in inches</t>
  </si>
  <si>
    <t>inner length of winding</t>
  </si>
  <si>
    <t>b=length of winding in inches</t>
  </si>
  <si>
    <t>outer length of winding</t>
  </si>
  <si>
    <t>c=radial depth of winding in inches</t>
  </si>
  <si>
    <t>intermed. length of winding</t>
  </si>
  <si>
    <t>wire diameter</t>
  </si>
  <si>
    <t>space between turns</t>
  </si>
  <si>
    <t>insulation between layers</t>
  </si>
  <si>
    <t>space between layers</t>
  </si>
  <si>
    <t>Ohm</t>
  </si>
  <si>
    <t xml:space="preserve">angenommene zulässige Stromdichte </t>
  </si>
  <si>
    <t>turns on innermost layer</t>
  </si>
  <si>
    <t>zulässiger Effektivstrom</t>
  </si>
  <si>
    <t>turns on intermediate layer</t>
  </si>
  <si>
    <t>Kupferverlust sekundär</t>
  </si>
  <si>
    <t>W</t>
  </si>
  <si>
    <t>turns on outermost layer</t>
  </si>
  <si>
    <t>turns decrease per layer</t>
  </si>
  <si>
    <t>Lagenzahl</t>
  </si>
  <si>
    <t xml:space="preserve"> --</t>
  </si>
  <si>
    <t>Aussendurchmesser</t>
  </si>
  <si>
    <t>einseit. Breitenminderung/Lage</t>
  </si>
  <si>
    <t>mittlere Windungslänge</t>
  </si>
  <si>
    <t>Drahtlänge total</t>
  </si>
  <si>
    <t>m</t>
  </si>
  <si>
    <t>Kupferdraht-Gewicht</t>
  </si>
  <si>
    <t>7.) Diameter of secondary should not exceed 2.5 times it's bore</t>
  </si>
  <si>
    <t xml:space="preserve">     No. 8 and No.4 must thus be reconciled</t>
  </si>
  <si>
    <t>9.) The length of the primary tube should be at least</t>
  </si>
  <si>
    <t xml:space="preserve">     twice the length of the maximum Spark, and preferably</t>
  </si>
  <si>
    <t xml:space="preserve">     twice the length of the secondary winding</t>
  </si>
  <si>
    <t>10.) Number of secondary turns ~5000 per inch of spark,</t>
  </si>
  <si>
    <t xml:space="preserve">      rather less for large and more for small</t>
  </si>
  <si>
    <t>11.) Start wit transformation Ratio of 100 to 1</t>
  </si>
  <si>
    <t xml:space="preserve">       Raise to ~150 to 1 for moderately small coils,</t>
  </si>
  <si>
    <t xml:space="preserve">       Lower to ~75 to 1 for large coils</t>
  </si>
  <si>
    <t>English</t>
  </si>
  <si>
    <t>Np = number of primary turns</t>
  </si>
  <si>
    <t>Lp = coefficient of self-inductance in henries</t>
  </si>
  <si>
    <t>mH</t>
  </si>
  <si>
    <t>iron mass</t>
  </si>
  <si>
    <t>L    = length of core in inches</t>
  </si>
  <si>
    <t>A  = cross-sectional area of iron in the core</t>
  </si>
  <si>
    <t>cm^2</t>
  </si>
  <si>
    <t>inch^2</t>
  </si>
  <si>
    <t>D  = equivalent diameter of core</t>
  </si>
  <si>
    <t>L/D  = length to diametrer ration of core</t>
  </si>
  <si>
    <t>Turns by Codd, for Lp given: Np = 10'000 * SQRT((Lp*L)/(A*Z))</t>
  </si>
  <si>
    <t>Lp by Codd, for turns given:  Lp =(Np/10'000)^2* A*Z / L</t>
  </si>
  <si>
    <t>Fig.71</t>
  </si>
  <si>
    <t>L/D</t>
  </si>
  <si>
    <t>Zcalc</t>
  </si>
  <si>
    <t>Z</t>
  </si>
  <si>
    <t>extrapolated !</t>
  </si>
  <si>
    <t>TableCurve 2D v4:</t>
  </si>
  <si>
    <t>Feb 20, 2002</t>
  </si>
  <si>
    <t>Andi's kleiner Induktor</t>
  </si>
  <si>
    <t xml:space="preserve">Innendurchmesser </t>
  </si>
  <si>
    <t>Lageisolation</t>
  </si>
  <si>
    <t>Gesamtwindungszahl</t>
  </si>
  <si>
    <t>Wdg. innerste Lage</t>
  </si>
  <si>
    <t>Wdg. mittlere Lage</t>
  </si>
  <si>
    <t>Wdg. äussere Lage</t>
  </si>
  <si>
    <t>Füllabstand pro Lage</t>
  </si>
  <si>
    <t>Wdg.</t>
  </si>
  <si>
    <t>Project:</t>
  </si>
  <si>
    <t>Input value cells are</t>
  </si>
  <si>
    <t>yellow</t>
  </si>
  <si>
    <t>measured values are</t>
  </si>
  <si>
    <t>green</t>
  </si>
  <si>
    <t xml:space="preserve">     Results are in</t>
  </si>
  <si>
    <t>blue</t>
  </si>
  <si>
    <t>beyond actual situat.</t>
  </si>
  <si>
    <t>Conversion factors</t>
  </si>
  <si>
    <t>Specific resistance at 20C</t>
  </si>
  <si>
    <t>Density</t>
  </si>
  <si>
    <t>1 inch =</t>
  </si>
  <si>
    <t>Aluminium</t>
  </si>
  <si>
    <t xml:space="preserve"> Al  (20C)</t>
  </si>
  <si>
    <t>Ohm mm2/m</t>
  </si>
  <si>
    <t>Acryl.Rho 1.18</t>
  </si>
  <si>
    <t xml:space="preserve"> kg/dm3</t>
  </si>
  <si>
    <t>1  foot =</t>
  </si>
  <si>
    <t>Copper</t>
  </si>
  <si>
    <t>Cu  (20C)</t>
  </si>
  <si>
    <t xml:space="preserve">PVC Rho </t>
  </si>
  <si>
    <t>Tungsten</t>
  </si>
  <si>
    <t xml:space="preserve"> W  (20C)</t>
  </si>
  <si>
    <t>Al     Rho</t>
  </si>
  <si>
    <t>Brass</t>
  </si>
  <si>
    <t>Cu    Rho</t>
  </si>
  <si>
    <t>Bronce</t>
  </si>
  <si>
    <t>Input and basic primary calculations (see Fig.184/185 below)</t>
  </si>
  <si>
    <t>metric</t>
  </si>
  <si>
    <t>english</t>
  </si>
  <si>
    <t>insulated / copper:</t>
  </si>
  <si>
    <t>wire diso/d</t>
  </si>
  <si>
    <t>inner diameter*) Di =</t>
  </si>
  <si>
    <t>4.4/2.7mm</t>
  </si>
  <si>
    <t>5.4/3.5mm</t>
  </si>
  <si>
    <t>spacing</t>
  </si>
  <si>
    <t>S =</t>
  </si>
  <si>
    <t>wire dia</t>
  </si>
  <si>
    <t>d =</t>
  </si>
  <si>
    <t>number of turns  n =</t>
  </si>
  <si>
    <t>cross-sect</t>
  </si>
  <si>
    <t>q =</t>
  </si>
  <si>
    <t>mm^2</t>
  </si>
  <si>
    <t>feet</t>
  </si>
  <si>
    <t>weight</t>
  </si>
  <si>
    <t>Gcu =</t>
  </si>
  <si>
    <t>Gpvc =</t>
  </si>
  <si>
    <t>G =</t>
  </si>
  <si>
    <t>kg        (</t>
  </si>
  <si>
    <t>kg/m  )</t>
  </si>
  <si>
    <t xml:space="preserve">                innermost end of the spiral to the spiral axis (=center of coil).</t>
  </si>
  <si>
    <t>uH</t>
  </si>
  <si>
    <t>Examples of PVC-insulated wire</t>
  </si>
  <si>
    <t>wire diameter     d =</t>
  </si>
  <si>
    <t>number of layers L =</t>
  </si>
  <si>
    <r>
      <t>D</t>
    </r>
    <r>
      <rPr>
        <sz val="10"/>
        <rFont val="Arial"/>
        <family val="2"/>
      </rPr>
      <t>Z=Z-Zcalc</t>
    </r>
  </si>
  <si>
    <t>12:29:26 PM</t>
  </si>
  <si>
    <t>Wicklungsbreite innen</t>
  </si>
  <si>
    <t>Wicklungsbreite aussen</t>
  </si>
  <si>
    <t>Wicklungsbreite mitte</t>
  </si>
  <si>
    <t>Drahtdurchmesser</t>
  </si>
  <si>
    <t>insulated diameter =</t>
  </si>
  <si>
    <t xml:space="preserve">avg. turn lenght  w =  </t>
  </si>
  <si>
    <t>outer diameter  Da =</t>
  </si>
  <si>
    <t>length of winding b =</t>
  </si>
  <si>
    <t>Lücke zwischen den Windungen</t>
  </si>
  <si>
    <t>Sekundärspule</t>
  </si>
  <si>
    <t>Primary</t>
  </si>
  <si>
    <t>Minderung Windungszahl pro Lage</t>
  </si>
  <si>
    <t>Input und Basisberechnungen</t>
  </si>
  <si>
    <t>Kupferverlust primär</t>
  </si>
  <si>
    <t>zulässige 230V Netz-Scheinleistung</t>
  </si>
  <si>
    <t>gelb</t>
  </si>
  <si>
    <t>blau</t>
  </si>
  <si>
    <t>grün</t>
  </si>
  <si>
    <t>5:37:34 AM</t>
  </si>
  <si>
    <t xml:space="preserve">LAYER TYPE SECONDARY </t>
  </si>
  <si>
    <r>
      <t xml:space="preserve">Air at 760 mmHg, 25 C  ---  </t>
    </r>
    <r>
      <rPr>
        <sz val="10"/>
        <color indexed="10"/>
        <rFont val="Arial"/>
        <family val="2"/>
      </rPr>
      <t>see Excel Sparkgap_fit3.xls</t>
    </r>
  </si>
  <si>
    <r>
      <t>kg/dm</t>
    </r>
    <r>
      <rPr>
        <vertAlign val="superscript"/>
        <sz val="10"/>
        <rFont val="Arial"/>
        <family val="2"/>
      </rPr>
      <t>3</t>
    </r>
  </si>
  <si>
    <r>
      <t>lbs/inch</t>
    </r>
    <r>
      <rPr>
        <vertAlign val="superscript"/>
        <sz val="10"/>
        <rFont val="Arial"/>
        <family val="2"/>
      </rPr>
      <t>3</t>
    </r>
  </si>
  <si>
    <r>
      <t>dm</t>
    </r>
    <r>
      <rPr>
        <vertAlign val="superscript"/>
        <sz val="10"/>
        <rFont val="Arial"/>
        <family val="2"/>
      </rPr>
      <t>3</t>
    </r>
  </si>
  <si>
    <r>
      <t>inch</t>
    </r>
    <r>
      <rPr>
        <vertAlign val="superscript"/>
        <sz val="10"/>
        <rFont val="Arial"/>
        <family val="2"/>
      </rPr>
      <t>3</t>
    </r>
  </si>
  <si>
    <r>
      <t>cm</t>
    </r>
    <r>
      <rPr>
        <vertAlign val="superscript"/>
        <sz val="10"/>
        <rFont val="Arial"/>
        <family val="2"/>
      </rPr>
      <t>2</t>
    </r>
  </si>
  <si>
    <r>
      <t>inch</t>
    </r>
    <r>
      <rPr>
        <vertAlign val="superscript"/>
        <sz val="10"/>
        <rFont val="Arial"/>
        <family val="2"/>
      </rPr>
      <t>2</t>
    </r>
  </si>
  <si>
    <r>
      <t>A/mm</t>
    </r>
    <r>
      <rPr>
        <vertAlign val="superscript"/>
        <sz val="10"/>
        <rFont val="Arial"/>
        <family val="2"/>
      </rPr>
      <t>2</t>
    </r>
  </si>
  <si>
    <r>
      <t>A/inch</t>
    </r>
    <r>
      <rPr>
        <vertAlign val="superscript"/>
        <sz val="10"/>
        <rFont val="Arial"/>
        <family val="2"/>
      </rPr>
      <t>2</t>
    </r>
  </si>
  <si>
    <r>
      <t>mm</t>
    </r>
    <r>
      <rPr>
        <vertAlign val="superscript"/>
        <sz val="10"/>
        <rFont val="Arial"/>
        <family val="2"/>
      </rPr>
      <t>2</t>
    </r>
  </si>
  <si>
    <r>
      <t>lines/inch</t>
    </r>
    <r>
      <rPr>
        <vertAlign val="superscript"/>
        <sz val="10"/>
        <rFont val="Arial"/>
        <family val="2"/>
      </rPr>
      <t>2</t>
    </r>
  </si>
  <si>
    <r>
      <t xml:space="preserve">magnetic flux                 </t>
    </r>
    <r>
      <rPr>
        <sz val="10"/>
        <rFont val="Symbol"/>
        <family val="1"/>
        <charset val="2"/>
      </rPr>
      <t>F</t>
    </r>
  </si>
  <si>
    <r>
      <t>U</t>
    </r>
    <r>
      <rPr>
        <vertAlign val="subscript"/>
        <sz val="10"/>
        <color indexed="10"/>
        <rFont val="Arial"/>
        <family val="2"/>
      </rPr>
      <t>eff</t>
    </r>
    <r>
      <rPr>
        <sz val="10"/>
        <color indexed="10"/>
        <rFont val="Arial"/>
        <family val="2"/>
      </rPr>
      <t xml:space="preserve"> = sqrt(2)*pi() * f * (B * A</t>
    </r>
    <r>
      <rPr>
        <vertAlign val="subscript"/>
        <sz val="10"/>
        <color indexed="10"/>
        <rFont val="Arial"/>
        <family val="2"/>
      </rPr>
      <t>Fe</t>
    </r>
    <r>
      <rPr>
        <sz val="10"/>
        <color indexed="10"/>
        <rFont val="Arial"/>
        <family val="2"/>
      </rPr>
      <t>) * N * 1E-8</t>
    </r>
  </si>
  <si>
    <r>
      <t>turns/V for given A</t>
    </r>
    <r>
      <rPr>
        <vertAlign val="subscript"/>
        <sz val="10"/>
        <rFont val="Arial"/>
        <family val="2"/>
      </rPr>
      <t>Fe</t>
    </r>
  </si>
  <si>
    <r>
      <t>n =     1 / [sqrt(2)*pi() * f * (B * A</t>
    </r>
    <r>
      <rPr>
        <vertAlign val="subscript"/>
        <sz val="10"/>
        <color indexed="10"/>
        <rFont val="Arial"/>
        <family val="2"/>
      </rPr>
      <t>Fe</t>
    </r>
    <r>
      <rPr>
        <sz val="10"/>
        <color indexed="10"/>
        <rFont val="Arial"/>
        <family val="2"/>
      </rPr>
      <t>) * 1E-8]</t>
    </r>
  </si>
  <si>
    <r>
      <t>N = U</t>
    </r>
    <r>
      <rPr>
        <vertAlign val="subscript"/>
        <sz val="10"/>
        <color indexed="10"/>
        <rFont val="Arial"/>
        <family val="2"/>
      </rPr>
      <t>eff</t>
    </r>
    <r>
      <rPr>
        <sz val="10"/>
        <color indexed="10"/>
        <rFont val="Arial"/>
        <family val="2"/>
      </rPr>
      <t xml:space="preserve"> / [sqrt(2)*pi() * f * (B * A</t>
    </r>
    <r>
      <rPr>
        <vertAlign val="subscript"/>
        <sz val="10"/>
        <color indexed="10"/>
        <rFont val="Arial"/>
        <family val="2"/>
      </rPr>
      <t>Fe</t>
    </r>
    <r>
      <rPr>
        <sz val="10"/>
        <color indexed="10"/>
        <rFont val="Arial"/>
        <family val="2"/>
      </rPr>
      <t>) * 1E-8]</t>
    </r>
  </si>
  <si>
    <r>
      <t>S = sqrt(2)*pi() * f * (B * A</t>
    </r>
    <r>
      <rPr>
        <vertAlign val="subscript"/>
        <sz val="10"/>
        <color indexed="10"/>
        <rFont val="Arial"/>
        <family val="2"/>
      </rPr>
      <t>Fe</t>
    </r>
    <r>
      <rPr>
        <sz val="10"/>
        <color indexed="10"/>
        <rFont val="Arial"/>
        <family val="2"/>
      </rPr>
      <t>) * (N * i) * 1E-8</t>
    </r>
  </si>
  <si>
    <r>
      <t>N = S / [sqrt(2)*pi() * f * (B * A</t>
    </r>
    <r>
      <rPr>
        <vertAlign val="subscript"/>
        <sz val="10"/>
        <color indexed="10"/>
        <rFont val="Arial"/>
        <family val="2"/>
      </rPr>
      <t>Fe</t>
    </r>
    <r>
      <rPr>
        <sz val="10"/>
        <color indexed="10"/>
        <rFont val="Arial"/>
        <family val="2"/>
      </rPr>
      <t>) *  i * 1E-8]</t>
    </r>
  </si>
  <si>
    <r>
      <t xml:space="preserve">    for A</t>
    </r>
    <r>
      <rPr>
        <vertAlign val="subscript"/>
        <sz val="10"/>
        <color indexed="10"/>
        <rFont val="Arial"/>
        <family val="2"/>
      </rPr>
      <t>Fe</t>
    </r>
    <r>
      <rPr>
        <sz val="10"/>
        <color indexed="10"/>
        <rFont val="Arial"/>
        <family val="2"/>
      </rPr>
      <t xml:space="preserve"> known</t>
    </r>
  </si>
  <si>
    <r>
      <t>A</t>
    </r>
    <r>
      <rPr>
        <vertAlign val="subscript"/>
        <sz val="10"/>
        <color indexed="10"/>
        <rFont val="Arial"/>
        <family val="2"/>
      </rPr>
      <t>Fe</t>
    </r>
    <r>
      <rPr>
        <sz val="10"/>
        <color indexed="10"/>
        <rFont val="Arial"/>
        <family val="2"/>
      </rPr>
      <t xml:space="preserve"> = S / [sqrt(2)*pi() * f * B  * (N * i) * 1E-8]</t>
    </r>
  </si>
  <si>
    <r>
      <t>L</t>
    </r>
    <r>
      <rPr>
        <vertAlign val="subscript"/>
        <sz val="10"/>
        <rFont val="Arial"/>
        <family val="2"/>
      </rPr>
      <t>air</t>
    </r>
    <r>
      <rPr>
        <sz val="10"/>
        <rFont val="Arial"/>
        <family val="2"/>
      </rPr>
      <t>[H] = 1e-6*(0.2*a^2*n^2)/(3*a+9*b+10*c)</t>
    </r>
  </si>
  <si>
    <r>
      <t xml:space="preserve">effektive relative Permeabilität          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r =</t>
    </r>
  </si>
  <si>
    <r>
      <t>L</t>
    </r>
    <r>
      <rPr>
        <vertAlign val="subscript"/>
        <sz val="10"/>
        <rFont val="Arial"/>
        <family val="2"/>
      </rPr>
      <t>Fe</t>
    </r>
    <r>
      <rPr>
        <sz val="10"/>
        <rFont val="Arial"/>
        <family val="2"/>
      </rPr>
      <t xml:space="preserve">[H] =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r * L</t>
    </r>
    <r>
      <rPr>
        <vertAlign val="subscript"/>
        <sz val="10"/>
        <rFont val="Arial"/>
        <family val="2"/>
      </rPr>
      <t>air</t>
    </r>
    <r>
      <rPr>
        <sz val="10"/>
        <rFont val="Arial"/>
        <family val="2"/>
      </rPr>
      <t xml:space="preserve">  =</t>
    </r>
  </si>
  <si>
    <r>
      <t>Gleichstromwiderstand der Wicklung R</t>
    </r>
    <r>
      <rPr>
        <vertAlign val="subscript"/>
        <sz val="10"/>
        <rFont val="Arial"/>
        <family val="2"/>
      </rPr>
      <t>DC</t>
    </r>
    <r>
      <rPr>
        <sz val="10"/>
        <rFont val="Arial"/>
        <family val="2"/>
      </rPr>
      <t xml:space="preserve"> =</t>
    </r>
  </si>
  <si>
    <r>
      <t>abs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Z%</t>
    </r>
  </si>
  <si>
    <r>
      <t xml:space="preserve">   grey:  </t>
    </r>
    <r>
      <rPr>
        <sz val="10"/>
        <rFont val="Arial"/>
        <family val="2"/>
      </rPr>
      <t>extrapolated</t>
    </r>
    <r>
      <rPr>
        <sz val="10"/>
        <rFont val="Arial"/>
        <family val="2"/>
      </rPr>
      <t xml:space="preserve"> or </t>
    </r>
    <r>
      <rPr>
        <sz val="10"/>
        <rFont val="Arial"/>
        <family val="2"/>
      </rPr>
      <t>side calculations</t>
    </r>
  </si>
  <si>
    <t>number of layers</t>
  </si>
  <si>
    <t>outer diameter</t>
  </si>
  <si>
    <t>average length of a turn</t>
  </si>
  <si>
    <t>total wirelength</t>
  </si>
  <si>
    <t>copperweight of secondary</t>
  </si>
  <si>
    <r>
      <t>total</t>
    </r>
    <r>
      <rPr>
        <sz val="10"/>
        <rFont val="Arial"/>
        <family val="2"/>
      </rPr>
      <t xml:space="preserve"> length of primary conductor (all turns) </t>
    </r>
  </si>
  <si>
    <r>
      <t xml:space="preserve">  *)  Di --&gt; diameter of</t>
    </r>
    <r>
      <rPr>
        <u/>
        <sz val="10"/>
        <rFont val="Arial"/>
        <family val="2"/>
      </rPr>
      <t xml:space="preserve"> ideal circle</t>
    </r>
    <r>
      <rPr>
        <sz val="10"/>
        <rFont val="Arial"/>
        <family val="2"/>
      </rPr>
      <t>, taking as radius the difference of the</t>
    </r>
  </si>
  <si>
    <r>
      <t>L</t>
    </r>
    <r>
      <rPr>
        <vertAlign val="subscript"/>
        <sz val="10"/>
        <rFont val="Arial"/>
        <family val="2"/>
      </rPr>
      <t>air</t>
    </r>
    <r>
      <rPr>
        <sz val="10"/>
        <rFont val="Arial"/>
        <family val="2"/>
      </rPr>
      <t>[uH] = (0.2*a^2*n^2)/(3*a+9*b+10*c)</t>
    </r>
  </si>
  <si>
    <r>
      <t xml:space="preserve">effective relative permeability           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r =</t>
    </r>
  </si>
  <si>
    <r>
      <t>L</t>
    </r>
    <r>
      <rPr>
        <vertAlign val="subscript"/>
        <sz val="10"/>
        <rFont val="Arial"/>
        <family val="2"/>
      </rPr>
      <t>Fe</t>
    </r>
    <r>
      <rPr>
        <sz val="10"/>
        <rFont val="Arial"/>
        <family val="2"/>
      </rPr>
      <t xml:space="preserve">[uH] =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r * L</t>
    </r>
    <r>
      <rPr>
        <vertAlign val="subscript"/>
        <sz val="10"/>
        <rFont val="Arial"/>
        <family val="2"/>
      </rPr>
      <t>air</t>
    </r>
    <r>
      <rPr>
        <sz val="10"/>
        <rFont val="Arial"/>
        <family val="2"/>
      </rPr>
      <t xml:space="preserve">  =</t>
    </r>
  </si>
  <si>
    <t xml:space="preserve">     ratio of outer- to inner diameter is</t>
  </si>
  <si>
    <t>8.) Length of secondary should be at least 1.33 times spark length.</t>
  </si>
  <si>
    <t xml:space="preserve">     secondary length / spark length is</t>
  </si>
  <si>
    <t xml:space="preserve">     primary tube length / spark length is</t>
  </si>
  <si>
    <t xml:space="preserve">      No. of secondary turns / inch winding</t>
  </si>
  <si>
    <t xml:space="preserve"> as specified by input</t>
  </si>
  <si>
    <r>
      <t xml:space="preserve">onesided windinglength </t>
    </r>
    <r>
      <rPr>
        <i/>
        <sz val="10"/>
        <rFont val="Arial"/>
        <family val="2"/>
      </rPr>
      <t>decrease</t>
    </r>
    <r>
      <rPr>
        <sz val="10"/>
        <rFont val="Arial"/>
        <family val="2"/>
      </rPr>
      <t xml:space="preserve"> per layer</t>
    </r>
  </si>
  <si>
    <t xml:space="preserve">       transformation ratio N2/N1 is</t>
  </si>
  <si>
    <t>12.) a) Number of primary turns should almost cover the core length</t>
  </si>
  <si>
    <t xml:space="preserve">      b) Allow half to one primary layer in addition to the theoretical layers</t>
  </si>
  <si>
    <t xml:space="preserve">       a) fraction of core covered by primary</t>
  </si>
  <si>
    <t xml:space="preserve">       b) fraction of additional layers</t>
  </si>
  <si>
    <t xml:space="preserve">       required in both primary and secondary and the winding length,</t>
  </si>
  <si>
    <r>
      <t xml:space="preserve">       this has already been done in steps </t>
    </r>
    <r>
      <rPr>
        <b/>
        <sz val="10"/>
        <rFont val="Arial"/>
        <family val="2"/>
      </rPr>
      <t>5.)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6.)</t>
    </r>
    <r>
      <rPr>
        <sz val="10"/>
        <rFont val="Arial"/>
        <family val="2"/>
      </rPr>
      <t xml:space="preserve"> above !</t>
    </r>
  </si>
  <si>
    <t>13.) Having determined the requisite number of turns, the gauge</t>
  </si>
  <si>
    <t xml:space="preserve">       etc., can be ascertained from the AWG or another wire table .</t>
  </si>
  <si>
    <t>4.) Forcing an L/D ratio of around 10 to the iron core</t>
  </si>
  <si>
    <r>
      <t>net</t>
    </r>
    <r>
      <rPr>
        <sz val="10"/>
        <rFont val="Arial"/>
        <family val="2"/>
      </rPr>
      <t xml:space="preserve">  cross-section area of iron core</t>
    </r>
  </si>
  <si>
    <t xml:space="preserve">     End of insert 2: secondary detail-calculations</t>
  </si>
  <si>
    <t xml:space="preserve">       the curve Fig.165, but as this is made for spark lengths of coils for</t>
  </si>
  <si>
    <t xml:space="preserve">        values given thereon should be approximately doubled.</t>
  </si>
  <si>
    <t xml:space="preserve">        is to be used for wireless or other heavy current work, and the</t>
  </si>
  <si>
    <t xml:space="preserve">       ordinary general purposes, allowances must be made if the coil</t>
  </si>
  <si>
    <r>
      <t xml:space="preserve">14.) The </t>
    </r>
    <r>
      <rPr>
        <b/>
        <sz val="10"/>
        <color indexed="10"/>
        <rFont val="Arial"/>
        <family val="2"/>
      </rPr>
      <t>value of the capacitor</t>
    </r>
    <r>
      <rPr>
        <b/>
        <sz val="10"/>
        <rFont val="Arial"/>
        <family val="2"/>
      </rPr>
      <t xml:space="preserve"> can be approximately determined from</t>
    </r>
  </si>
  <si>
    <t xml:space="preserve">       the capacitor value from a fitted function</t>
  </si>
  <si>
    <t xml:space="preserve">       to the curve in Fig.165 is       C =</t>
  </si>
  <si>
    <t>uF</t>
  </si>
  <si>
    <t>=0.2775137077133036+0.1263927771171942*EXP(-AI3/(-6.845648144817177))</t>
  </si>
  <si>
    <t>[uF]</t>
  </si>
  <si>
    <t>[inch]</t>
  </si>
  <si>
    <t>Spark</t>
  </si>
  <si>
    <t>C observed</t>
  </si>
  <si>
    <t>C predicted</t>
  </si>
  <si>
    <t>(manually transferred from graph)</t>
  </si>
  <si>
    <t>Fig.165 Capacitor Curve in Table Form</t>
  </si>
  <si>
    <t>the fitted function has the form:</t>
  </si>
  <si>
    <t>[Exponential] C[uF] = a+b*exp(-Spark[inch]/c)</t>
  </si>
  <si>
    <t>and may be copied for use in Excel from:</t>
  </si>
  <si>
    <t>...replacing AI3 by the cell containing the sparklength in inches</t>
  </si>
  <si>
    <r>
      <t xml:space="preserve">For further details of the fit, an Excel </t>
    </r>
    <r>
      <rPr>
        <sz val="10"/>
        <color indexed="10"/>
        <rFont val="Arial"/>
        <family val="2"/>
      </rPr>
      <t>Codd_Inductor_C.xls</t>
    </r>
    <r>
      <rPr>
        <sz val="10"/>
        <rFont val="Arial"/>
        <family val="2"/>
      </rPr>
      <t xml:space="preserve"> exists</t>
    </r>
  </si>
  <si>
    <t>Z  = coefficient from Codd's Fig.71 curve</t>
  </si>
  <si>
    <t>BPS --- breaks Per Second</t>
  </si>
  <si>
    <t>&lt;-----------------------------</t>
  </si>
  <si>
    <t xml:space="preserve">     primary tube length / sec winding length</t>
  </si>
  <si>
    <t>(</t>
  </si>
  <si>
    <t>real vs.</t>
  </si>
  <si>
    <t>theor. layers)</t>
  </si>
  <si>
    <t>AWG</t>
  </si>
  <si>
    <t>Z=(a+cx+ex^2+gx^3+ix^4+kx^5)/(1+bx+dx^2+fx^3+hx^4+jx^5) [NL]</t>
  </si>
  <si>
    <t>y=(a+cx^(0.5)+ex+gx^(1.5)+ix^2+kx^(2.5))/(1+bx^(0.5)+dx+fx^(1.5)+hx^2+jx^(2.5)) [NL]</t>
  </si>
  <si>
    <t>y=wire diameter [cm]</t>
  </si>
  <si>
    <t>x=SWG wire gauge</t>
  </si>
  <si>
    <t>inch       (</t>
  </si>
  <si>
    <t>SWG )</t>
  </si>
  <si>
    <r>
      <t>inch</t>
    </r>
    <r>
      <rPr>
        <vertAlign val="superscript"/>
        <sz val="10"/>
        <rFont val="Arial"/>
        <family val="2"/>
      </rPr>
      <t>-1</t>
    </r>
  </si>
  <si>
    <r>
      <t>cm</t>
    </r>
    <r>
      <rPr>
        <vertAlign val="superscript"/>
        <sz val="10"/>
        <rFont val="Arial"/>
        <family val="2"/>
      </rPr>
      <t>-1</t>
    </r>
  </si>
  <si>
    <t>Z for Codd's primary L calculation</t>
  </si>
  <si>
    <t>with x = L/D of iron core</t>
  </si>
  <si>
    <r>
      <t>[</t>
    </r>
    <r>
      <rPr>
        <b/>
        <u/>
        <sz val="10"/>
        <color indexed="10"/>
        <rFont val="Arial"/>
        <family val="2"/>
      </rPr>
      <t>mm</t>
    </r>
    <r>
      <rPr>
        <b/>
        <u/>
        <sz val="10"/>
        <rFont val="Arial"/>
        <family val="2"/>
      </rPr>
      <t>] to SWG conversion</t>
    </r>
  </si>
  <si>
    <r>
      <t xml:space="preserve">see Excel </t>
    </r>
    <r>
      <rPr>
        <sz val="10"/>
        <color indexed="12"/>
        <rFont val="Arial"/>
        <family val="2"/>
      </rPr>
      <t>wire_mm_SWG_fit1.xls</t>
    </r>
    <r>
      <rPr>
        <sz val="10"/>
        <rFont val="Arial"/>
        <family val="2"/>
      </rPr>
      <t xml:space="preserve"> for details of fit results</t>
    </r>
  </si>
  <si>
    <t>SWG</t>
  </si>
  <si>
    <t>&lt;--------don't remove table !</t>
  </si>
  <si>
    <t>G</t>
  </si>
  <si>
    <t>Trafoblech</t>
  </si>
  <si>
    <t xml:space="preserve">Leumann &amp; Uhlmann AG </t>
  </si>
  <si>
    <t>50.-</t>
  </si>
  <si>
    <t>Tel.Andi</t>
  </si>
  <si>
    <t>W/kg</t>
  </si>
  <si>
    <t>dm3</t>
  </si>
  <si>
    <t>dm</t>
  </si>
  <si>
    <t>Volumen</t>
  </si>
  <si>
    <t>Breite</t>
  </si>
  <si>
    <t>Länge</t>
  </si>
  <si>
    <t>Dicke</t>
  </si>
  <si>
    <t>kg/dm3</t>
  </si>
  <si>
    <t>1.8T</t>
  </si>
  <si>
    <t>B =</t>
  </si>
  <si>
    <t>Dichte ca.</t>
  </si>
  <si>
    <t xml:space="preserve"> Preis pro Tafel 1mx2m  0.5mm  Blech  Fr.</t>
  </si>
  <si>
    <t>Length/Diameter ratio of iron core L/D</t>
  </si>
  <si>
    <t>tube length</t>
  </si>
  <si>
    <t>&lt;---- this is the inner diameter of the primary</t>
  </si>
  <si>
    <t>choice of insulating tube for iron core:</t>
  </si>
  <si>
    <t>Primary insulating tube length, minimum</t>
  </si>
  <si>
    <t>Primary insulating tube length: your choice</t>
  </si>
  <si>
    <t>&lt;---- this is the inner diameter of the secondary</t>
  </si>
  <si>
    <t>apparent density of core material</t>
  </si>
  <si>
    <t>bulk volume of iron core</t>
  </si>
  <si>
    <t>net iron area = 0.9 x the bulk cross-section</t>
  </si>
  <si>
    <r>
      <t xml:space="preserve">choice of insulating tube for </t>
    </r>
    <r>
      <rPr>
        <b/>
        <u/>
        <sz val="10"/>
        <rFont val="Arial"/>
        <family val="2"/>
      </rPr>
      <t>iron core</t>
    </r>
    <r>
      <rPr>
        <b/>
        <sz val="10"/>
        <rFont val="Arial"/>
        <family val="2"/>
      </rPr>
      <t>:</t>
    </r>
  </si>
  <si>
    <t>single wire cross section</t>
  </si>
  <si>
    <t>bare wire diameter approximate</t>
  </si>
  <si>
    <t>bare wire diameter choosen</t>
  </si>
  <si>
    <t>insulated wire diameter</t>
  </si>
  <si>
    <r>
      <t xml:space="preserve">choice of insulating tube for </t>
    </r>
    <r>
      <rPr>
        <b/>
        <u/>
        <sz val="10"/>
        <rFont val="Arial"/>
        <family val="2"/>
      </rPr>
      <t>primary</t>
    </r>
    <r>
      <rPr>
        <b/>
        <sz val="10"/>
        <rFont val="Arial"/>
        <family val="2"/>
      </rPr>
      <t>:</t>
    </r>
  </si>
  <si>
    <t>insulating tube: outer diameter, approx.</t>
  </si>
  <si>
    <t>insulating tube-inner diameter: your choice</t>
  </si>
  <si>
    <t>insulating tube-outer diameter: your choice</t>
  </si>
  <si>
    <t>wall thickness of insulating tube</t>
  </si>
  <si>
    <t>wall thickness of insulating tube, approx.</t>
  </si>
  <si>
    <t>"bore of insulating tube"</t>
  </si>
  <si>
    <t xml:space="preserve">bulk density, including voids in the core </t>
  </si>
  <si>
    <t>Remarks</t>
  </si>
  <si>
    <r>
      <t xml:space="preserve">the IRON   </t>
    </r>
    <r>
      <rPr>
        <sz val="10"/>
        <rFont val="Arial"/>
        <family val="2"/>
      </rPr>
      <t>(see also sheet "SketchSk" for details)</t>
    </r>
  </si>
  <si>
    <t>SketchSk</t>
  </si>
  <si>
    <t>CoddSk</t>
  </si>
  <si>
    <t>Pie Sk</t>
  </si>
  <si>
    <t>SimSk</t>
  </si>
  <si>
    <t>T-Sk</t>
  </si>
  <si>
    <t>Codd26k252</t>
  </si>
  <si>
    <t>Pie26k</t>
  </si>
  <si>
    <t>Sim26k</t>
  </si>
  <si>
    <t>25kSec(layer)</t>
  </si>
  <si>
    <t>Codd48k492</t>
  </si>
  <si>
    <t>Pie48k</t>
  </si>
  <si>
    <t>Sim48k</t>
  </si>
  <si>
    <t>Prim</t>
  </si>
  <si>
    <t>Kosten</t>
  </si>
  <si>
    <t>CoddEx</t>
  </si>
  <si>
    <t>Codd Phywe</t>
  </si>
  <si>
    <t>DenseWdg</t>
  </si>
  <si>
    <t>Fig.165</t>
  </si>
  <si>
    <t>M.A.Codd's (1922-) Induction Coil Design Procedure, applied to Sk's big induction coil</t>
  </si>
  <si>
    <t>Sketches of some parts of Sk's big induction coil. Design calc. of pie cardboard disks</t>
  </si>
  <si>
    <t>Design calculation of the single pie for Sk's big induction coil</t>
  </si>
  <si>
    <t>Different ways to represent the induction coil as a tranformer equivalent T- 4 pole circuit</t>
  </si>
  <si>
    <t>Design calculation of the single pie</t>
  </si>
  <si>
    <t>Small induction coil 2004: laminated transformer sheet core</t>
  </si>
  <si>
    <t>Small induction coil 2004: some of the costs</t>
  </si>
  <si>
    <t>Andi's small induction coil: Preliminary primary calculation</t>
  </si>
  <si>
    <t>Language</t>
  </si>
  <si>
    <t>English = E</t>
  </si>
  <si>
    <t>German = G</t>
  </si>
  <si>
    <t>E/G</t>
  </si>
  <si>
    <t>E</t>
  </si>
  <si>
    <t>Project: Small induction coil 2004: 26k sec./252 prim. Turns</t>
  </si>
  <si>
    <t>Project: Small induction coil 2004: 48k sec./492 prim. Turns</t>
  </si>
  <si>
    <t>Project: Codd's Example, calculated with his own procedure</t>
  </si>
  <si>
    <t>M.A.Codd's (1922-) Induction Coil Design Procedure: Testing my vs. Codd's results</t>
  </si>
  <si>
    <t>Project: Sk's smaller Phywe induction coil</t>
  </si>
  <si>
    <t>Project: Kurt's (=Sk's) big Induction Coil</t>
  </si>
  <si>
    <t>Fairly useless attempt to apply a densest winding approach for winding primaries</t>
  </si>
  <si>
    <t>Short Introduction to Kurt's Induction Coil Design Excel</t>
  </si>
  <si>
    <t xml:space="preserve">The spreadsheet has started from M.A.Codd's (1922-) Induction Coil Design Procedure, which is described in CHAPTER XIII </t>
  </si>
  <si>
    <t xml:space="preserve">of his book p.228, in condensed form on pp. 236-238. I have "enriched" the design procedure by different additional practical </t>
  </si>
  <si>
    <t>calculations and hints, in order to perform real world induction coil designs, and it has been positively tested vs. Codd's design</t>
  </si>
  <si>
    <t>program has been implemented, which allows, to simulate the eletcromagnetic system (containing ferromagnetic materials)</t>
  </si>
  <si>
    <t>with good precision /(i.e. a transformer sheet cylindrical core system).  I recommend to download, install, and learn to use FEMM:</t>
  </si>
  <si>
    <t>http://www.femm.info/wiki/HomePage</t>
  </si>
  <si>
    <t>OK: It's not for 3D but for 2D Magnetics = Planar or cylindrical coordinates.</t>
  </si>
  <si>
    <t xml:space="preserve"> It's not too hard to learn, please see: </t>
  </si>
  <si>
    <t>http://www.femm.info/wiki/Documentation/</t>
  </si>
  <si>
    <t>3.) Incomplete in part: the Sim.. sheets i.e. only correct for charging and begin of discharge; not useful for the coil sparking: ignore!</t>
  </si>
  <si>
    <t>http://www.femm.info/Archives/doc/tutorial-magnetic.pdf</t>
  </si>
  <si>
    <t>4.) Newer developpments are implemented only marginally in the spreadsheet.  State is about Codd 1922</t>
  </si>
  <si>
    <t>5.) The Excel should be reworked for more user-friendly input, and reduced to the essential, in order to be an useful design tool.</t>
  </si>
  <si>
    <t>Close fit  of a function to Codd's graph PLATE IV in the BIBLOIGRAPHY</t>
  </si>
  <si>
    <t>Close fit  of a function to Codd's graph PLATE XII in the BIBLOIGRAPHY</t>
  </si>
  <si>
    <t>Links to my favorite induction coil literature are:</t>
  </si>
  <si>
    <t>http://www.arcsandsparks.com/reprintpage.html#HVPA</t>
  </si>
  <si>
    <t>http://www.archive.org/details/inductioncoil032158mbp</t>
  </si>
  <si>
    <t>Codd</t>
  </si>
  <si>
    <t>Taylor-Jones</t>
  </si>
  <si>
    <r>
      <t xml:space="preserve"> I have designed successfully  my coils, using this Excel. However there are a number of drawbacks; the Excel is a </t>
    </r>
    <r>
      <rPr>
        <u/>
        <sz val="10"/>
        <rFont val="Arial"/>
        <family val="2"/>
      </rPr>
      <t>fragment</t>
    </r>
    <r>
      <rPr>
        <sz val="10"/>
        <rFont val="Arial"/>
        <family val="2"/>
      </rPr>
      <t>:</t>
    </r>
  </si>
  <si>
    <r>
      <t xml:space="preserve">Characterization of the different </t>
    </r>
    <r>
      <rPr>
        <b/>
        <u/>
        <sz val="10"/>
        <rFont val="Arial"/>
        <family val="2"/>
      </rPr>
      <t>Sheets</t>
    </r>
    <r>
      <rPr>
        <u/>
        <sz val="10"/>
        <rFont val="Arial"/>
        <family val="2"/>
      </rPr>
      <t xml:space="preserve"> (=Tabs) and</t>
    </r>
    <r>
      <rPr>
        <u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Projects</t>
    </r>
  </si>
  <si>
    <r>
      <t xml:space="preserve">6.) </t>
    </r>
    <r>
      <rPr>
        <u/>
        <sz val="10"/>
        <rFont val="Arial"/>
        <family val="2"/>
      </rPr>
      <t>"User Manual</t>
    </r>
    <r>
      <rPr>
        <sz val="10"/>
        <rFont val="Arial"/>
        <family val="2"/>
      </rPr>
      <t xml:space="preserve">" would need to be created for public usefulness. … </t>
    </r>
    <r>
      <rPr>
        <u/>
        <sz val="10"/>
        <rFont val="Arial"/>
        <family val="2"/>
      </rPr>
      <t>Which, probably, I will never create, sorry</t>
    </r>
    <r>
      <rPr>
        <sz val="10"/>
        <rFont val="Arial"/>
        <family val="2"/>
      </rPr>
      <t xml:space="preserve"> :-(</t>
    </r>
  </si>
  <si>
    <t>Well, this Excel is essentially a private Spreadsheet, which is perhaps just useful for me. If you try to use it for your own project,</t>
  </si>
  <si>
    <t>I'd recommend making a copy of it, deleting in the copy all the irrelevant tabs for your case, keeping the relevant, copying those</t>
  </si>
  <si>
    <t>input</t>
  </si>
  <si>
    <t>output</t>
  </si>
  <si>
    <t>)               (</t>
  </si>
  <si>
    <t>to a new sheet, and entering your own data in the yellow fields.       (</t>
  </si>
  <si>
    <t>example for reproducing his results. A coordinate generating interface to David Meker's FEMM (Finite Elements Magnetic Modelling)</t>
  </si>
  <si>
    <t>1.) No documentation and user-unfriendly input; confusing and somehow overcharged</t>
  </si>
  <si>
    <t>2.) Language mixed: English and German, see below</t>
  </si>
  <si>
    <t>) don't overtype.</t>
  </si>
  <si>
    <t>Remember: you can use "Goal Seek", in order to adjust some Input variable to attain a desired value of a dependent variable.</t>
  </si>
  <si>
    <t>Intro</t>
  </si>
  <si>
    <t>Short introduction/Comment to This Excel</t>
  </si>
  <si>
    <t>No.of Sheets</t>
  </si>
  <si>
    <t>Following are short comments about the 21 sheets (=Tabs) of the Excel, which are grouped within projects. These are too many,</t>
  </si>
  <si>
    <t>but give an idea about different coils. The projects repeatedly contain the equivalent sheets, just adapted to the cases.</t>
  </si>
  <si>
    <t>Attempt to approximately simulate the charging/discharging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</si>
</sst>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_);[Red]\(&quot;$&quot;#,##0\)"/>
    <numFmt numFmtId="165" formatCode="&quot;$&quot;#,##0.00_);[Red]\(&quot;$&quot;#,##0.00\)"/>
    <numFmt numFmtId="166" formatCode="0.000"/>
    <numFmt numFmtId="167" formatCode="0.0000"/>
    <numFmt numFmtId="168" formatCode="0.0"/>
    <numFmt numFmtId="169" formatCode="m/d/yy"/>
    <numFmt numFmtId="170" formatCode="0.0%"/>
    <numFmt numFmtId="171" formatCode="0.00000"/>
    <numFmt numFmtId="172" formatCode="0.000E+00"/>
    <numFmt numFmtId="173" formatCode="##0.000E+0"/>
    <numFmt numFmtId="174" formatCode="##0.00E+0"/>
    <numFmt numFmtId="175" formatCode="dd/\ mm/yy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b/>
      <u/>
      <sz val="10"/>
      <color indexed="10"/>
      <name val="Arial"/>
      <family val="2"/>
    </font>
    <font>
      <vertAlign val="subscript"/>
      <sz val="10"/>
      <color indexed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17"/>
      <name val="Arial"/>
      <family val="2"/>
    </font>
    <font>
      <vertAlign val="superscript"/>
      <sz val="10"/>
      <name val="Symbol"/>
      <family val="1"/>
      <charset val="2"/>
    </font>
    <font>
      <b/>
      <vertAlign val="subscript"/>
      <sz val="10"/>
      <name val="Arial"/>
      <family val="2"/>
    </font>
    <font>
      <vertAlign val="subscript"/>
      <sz val="14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b/>
      <sz val="12"/>
      <name val="Symbol"/>
      <family val="1"/>
      <charset val="2"/>
    </font>
    <font>
      <b/>
      <vertAlign val="subscript"/>
      <sz val="14"/>
      <name val="Arial"/>
      <family val="2"/>
    </font>
    <font>
      <b/>
      <sz val="16"/>
      <name val="Symbol"/>
      <family val="1"/>
      <charset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quotePrefix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2" fontId="0" fillId="2" borderId="0" xfId="0" applyNumberFormat="1" applyFill="1" applyBorder="1" applyAlignment="1">
      <alignment horizontal="center"/>
    </xf>
    <xf numFmtId="0" fontId="0" fillId="3" borderId="0" xfId="0" applyFill="1"/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1" fontId="0" fillId="3" borderId="0" xfId="0" applyNumberFormat="1" applyFill="1" applyBorder="1" applyAlignment="1">
      <alignment horizontal="center"/>
    </xf>
    <xf numFmtId="1" fontId="0" fillId="3" borderId="0" xfId="0" applyNumberFormat="1" applyFill="1"/>
    <xf numFmtId="0" fontId="0" fillId="2" borderId="0" xfId="0" applyFill="1"/>
    <xf numFmtId="0" fontId="0" fillId="0" borderId="0" xfId="0" applyFill="1"/>
    <xf numFmtId="166" fontId="0" fillId="3" borderId="0" xfId="0" applyNumberFormat="1" applyFill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2" fontId="0" fillId="3" borderId="0" xfId="0" applyNumberFormat="1" applyFill="1"/>
    <xf numFmtId="166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2" fontId="0" fillId="0" borderId="0" xfId="0" applyNumberFormat="1" applyFill="1"/>
    <xf numFmtId="0" fontId="0" fillId="2" borderId="0" xfId="0" applyNumberFormat="1" applyFill="1"/>
    <xf numFmtId="0" fontId="0" fillId="3" borderId="0" xfId="0" applyNumberFormat="1" applyFill="1"/>
    <xf numFmtId="0" fontId="0" fillId="0" borderId="0" xfId="0" quotePrefix="1"/>
    <xf numFmtId="0" fontId="0" fillId="0" borderId="0" xfId="0" applyNumberFormat="1" applyFill="1"/>
    <xf numFmtId="2" fontId="0" fillId="3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Fill="1"/>
    <xf numFmtId="1" fontId="0" fillId="0" borderId="0" xfId="0" applyNumberFormat="1"/>
    <xf numFmtId="0" fontId="10" fillId="0" borderId="0" xfId="0" applyFont="1"/>
    <xf numFmtId="0" fontId="7" fillId="0" borderId="0" xfId="0" applyFont="1"/>
    <xf numFmtId="166" fontId="12" fillId="3" borderId="0" xfId="0" applyNumberFormat="1" applyFont="1" applyFill="1"/>
    <xf numFmtId="168" fontId="0" fillId="3" borderId="0" xfId="0" applyNumberFormat="1" applyFill="1"/>
    <xf numFmtId="0" fontId="14" fillId="0" borderId="0" xfId="0" applyFont="1"/>
    <xf numFmtId="0" fontId="0" fillId="0" borderId="0" xfId="0" applyAlignment="1">
      <alignment horizontal="left"/>
    </xf>
    <xf numFmtId="1" fontId="0" fillId="2" borderId="0" xfId="0" applyNumberFormat="1" applyFill="1"/>
    <xf numFmtId="2" fontId="0" fillId="2" borderId="0" xfId="0" applyNumberFormat="1" applyFill="1"/>
    <xf numFmtId="0" fontId="0" fillId="3" borderId="0" xfId="0" applyFill="1" applyBorder="1" applyAlignment="1">
      <alignment horizontal="center"/>
    </xf>
    <xf numFmtId="0" fontId="0" fillId="4" borderId="0" xfId="0" applyFill="1"/>
    <xf numFmtId="0" fontId="15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0" fontId="0" fillId="0" borderId="13" xfId="0" applyNumberFormat="1" applyBorder="1"/>
    <xf numFmtId="2" fontId="0" fillId="0" borderId="13" xfId="0" applyNumberForma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0" fillId="0" borderId="12" xfId="0" applyBorder="1"/>
    <xf numFmtId="0" fontId="16" fillId="0" borderId="12" xfId="0" applyFont="1" applyBorder="1"/>
    <xf numFmtId="0" fontId="0" fillId="0" borderId="13" xfId="0" applyBorder="1"/>
    <xf numFmtId="0" fontId="9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0" fillId="0" borderId="15" xfId="0" applyBorder="1"/>
    <xf numFmtId="0" fontId="16" fillId="0" borderId="15" xfId="0" applyFont="1" applyBorder="1"/>
    <xf numFmtId="0" fontId="0" fillId="0" borderId="16" xfId="0" applyBorder="1"/>
    <xf numFmtId="0" fontId="4" fillId="5" borderId="0" xfId="0" applyFont="1" applyFill="1"/>
    <xf numFmtId="0" fontId="0" fillId="5" borderId="0" xfId="0" applyFill="1"/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0" fillId="2" borderId="12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0" borderId="21" xfId="0" applyFill="1" applyBorder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166" fontId="0" fillId="0" borderId="0" xfId="0" applyNumberFormat="1"/>
    <xf numFmtId="0" fontId="17" fillId="7" borderId="0" xfId="0" applyFont="1" applyFill="1" applyAlignment="1">
      <alignment horizontal="left"/>
    </xf>
    <xf numFmtId="0" fontId="17" fillId="0" borderId="0" xfId="0" applyFont="1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7" borderId="0" xfId="0" applyFill="1"/>
    <xf numFmtId="0" fontId="5" fillId="0" borderId="0" xfId="0" applyFont="1" applyAlignment="1">
      <alignment horizontal="left"/>
    </xf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6" borderId="0" xfId="0" applyFill="1" applyProtection="1"/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2" fontId="0" fillId="6" borderId="12" xfId="0" applyNumberFormat="1" applyFill="1" applyBorder="1" applyProtection="1"/>
    <xf numFmtId="1" fontId="0" fillId="2" borderId="12" xfId="0" applyNumberFormat="1" applyFill="1" applyBorder="1" applyAlignment="1" applyProtection="1">
      <alignment horizontal="center"/>
      <protection locked="0"/>
    </xf>
    <xf numFmtId="166" fontId="0" fillId="3" borderId="12" xfId="0" applyNumberFormat="1" applyFill="1" applyBorder="1"/>
    <xf numFmtId="166" fontId="0" fillId="6" borderId="12" xfId="0" applyNumberFormat="1" applyFill="1" applyBorder="1" applyProtection="1"/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right"/>
    </xf>
    <xf numFmtId="2" fontId="0" fillId="3" borderId="0" xfId="0" applyNumberFormat="1" applyFill="1" applyAlignment="1">
      <alignment horizontal="center"/>
    </xf>
    <xf numFmtId="166" fontId="0" fillId="2" borderId="12" xfId="0" applyNumberFormat="1" applyFill="1" applyBorder="1" applyAlignment="1" applyProtection="1">
      <alignment horizontal="center"/>
      <protection locked="0"/>
    </xf>
    <xf numFmtId="166" fontId="0" fillId="3" borderId="12" xfId="0" applyNumberFormat="1" applyFill="1" applyBorder="1" applyAlignment="1" applyProtection="1">
      <alignment horizontal="center"/>
      <protection locked="0"/>
    </xf>
    <xf numFmtId="168" fontId="0" fillId="3" borderId="12" xfId="0" applyNumberFormat="1" applyFill="1" applyBorder="1" applyAlignment="1" applyProtection="1">
      <alignment horizontal="center"/>
      <protection locked="0"/>
    </xf>
    <xf numFmtId="166" fontId="0" fillId="3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166" fontId="0" fillId="3" borderId="22" xfId="0" applyNumberFormat="1" applyFill="1" applyBorder="1"/>
    <xf numFmtId="0" fontId="5" fillId="0" borderId="0" xfId="0" applyFont="1" applyAlignment="1">
      <alignment horizontal="right"/>
    </xf>
    <xf numFmtId="168" fontId="0" fillId="3" borderId="12" xfId="0" applyNumberFormat="1" applyFill="1" applyBorder="1"/>
    <xf numFmtId="0" fontId="12" fillId="0" borderId="0" xfId="0" applyFont="1" applyAlignment="1">
      <alignment horizontal="right"/>
    </xf>
    <xf numFmtId="168" fontId="0" fillId="0" borderId="0" xfId="0" applyNumberFormat="1" applyFill="1" applyProtection="1"/>
    <xf numFmtId="1" fontId="0" fillId="3" borderId="1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2" fillId="0" borderId="0" xfId="0" applyFont="1"/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0" fontId="7" fillId="0" borderId="0" xfId="0" applyFont="1" applyAlignment="1">
      <alignment horizontal="right"/>
    </xf>
    <xf numFmtId="2" fontId="0" fillId="0" borderId="0" xfId="0" applyNumberFormat="1" applyFill="1" applyAlignment="1">
      <alignment horizontal="center"/>
    </xf>
    <xf numFmtId="1" fontId="2" fillId="3" borderId="0" xfId="7" applyNumberFormat="1" applyFont="1" applyFill="1"/>
    <xf numFmtId="0" fontId="5" fillId="7" borderId="0" xfId="0" applyFont="1" applyFill="1"/>
    <xf numFmtId="0" fontId="0" fillId="7" borderId="0" xfId="0" applyNumberFormat="1" applyFill="1"/>
    <xf numFmtId="2" fontId="0" fillId="7" borderId="0" xfId="0" applyNumberFormat="1" applyFill="1"/>
    <xf numFmtId="0" fontId="14" fillId="0" borderId="0" xfId="0" applyFont="1" applyAlignment="1"/>
    <xf numFmtId="1" fontId="0" fillId="3" borderId="0" xfId="0" applyNumberFormat="1" applyFill="1" applyBorder="1"/>
    <xf numFmtId="0" fontId="0" fillId="0" borderId="0" xfId="0" applyFill="1" applyBorder="1" applyAlignment="1">
      <alignment wrapText="1"/>
    </xf>
    <xf numFmtId="168" fontId="0" fillId="0" borderId="0" xfId="0" applyNumberFormat="1" applyFill="1" applyBorder="1"/>
    <xf numFmtId="1" fontId="0" fillId="0" borderId="0" xfId="0" applyNumberFormat="1" applyFill="1" applyBorder="1"/>
    <xf numFmtId="0" fontId="0" fillId="0" borderId="23" xfId="0" applyBorder="1"/>
    <xf numFmtId="0" fontId="0" fillId="0" borderId="24" xfId="0" applyBorder="1"/>
    <xf numFmtId="0" fontId="0" fillId="0" borderId="21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0" fillId="0" borderId="25" xfId="0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0" fillId="0" borderId="26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1" xfId="0" applyBorder="1"/>
    <xf numFmtId="2" fontId="0" fillId="0" borderId="0" xfId="0" applyNumberFormat="1" applyBorder="1" applyAlignment="1">
      <alignment horizontal="center"/>
    </xf>
    <xf numFmtId="0" fontId="12" fillId="0" borderId="21" xfId="0" applyFont="1" applyBorder="1"/>
    <xf numFmtId="0" fontId="9" fillId="0" borderId="0" xfId="0" applyFont="1"/>
    <xf numFmtId="0" fontId="0" fillId="0" borderId="28" xfId="0" applyBorder="1"/>
    <xf numFmtId="2" fontId="0" fillId="2" borderId="28" xfId="0" applyNumberFormat="1" applyFill="1" applyBorder="1"/>
    <xf numFmtId="0" fontId="0" fillId="0" borderId="28" xfId="0" applyFill="1" applyBorder="1"/>
    <xf numFmtId="0" fontId="0" fillId="3" borderId="28" xfId="0" applyNumberFormat="1" applyFill="1" applyBorder="1"/>
    <xf numFmtId="2" fontId="0" fillId="2" borderId="0" xfId="0" applyNumberFormat="1" applyFill="1" applyBorder="1"/>
    <xf numFmtId="0" fontId="0" fillId="3" borderId="0" xfId="0" applyNumberFormat="1" applyFill="1" applyBorder="1"/>
    <xf numFmtId="0" fontId="0" fillId="3" borderId="22" xfId="0" applyFill="1" applyBorder="1"/>
    <xf numFmtId="0" fontId="0" fillId="0" borderId="22" xfId="0" applyFill="1" applyBorder="1"/>
    <xf numFmtId="0" fontId="0" fillId="3" borderId="22" xfId="0" applyNumberFormat="1" applyFill="1" applyBorder="1"/>
    <xf numFmtId="0" fontId="12" fillId="0" borderId="23" xfId="0" applyFont="1" applyBorder="1"/>
    <xf numFmtId="2" fontId="0" fillId="3" borderId="28" xfId="0" applyNumberFormat="1" applyFill="1" applyBorder="1"/>
    <xf numFmtId="2" fontId="0" fillId="3" borderId="0" xfId="0" applyNumberFormat="1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1" fillId="0" borderId="0" xfId="0" quotePrefix="1" applyFont="1"/>
    <xf numFmtId="0" fontId="21" fillId="0" borderId="0" xfId="0" quotePrefix="1" applyFont="1" applyBorder="1"/>
    <xf numFmtId="0" fontId="21" fillId="0" borderId="30" xfId="0" quotePrefix="1" applyFont="1" applyBorder="1"/>
    <xf numFmtId="0" fontId="21" fillId="0" borderId="34" xfId="0" quotePrefix="1" applyFont="1" applyBorder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8" xfId="0" applyFont="1" applyBorder="1"/>
    <xf numFmtId="0" fontId="21" fillId="0" borderId="2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21" xfId="0" quotePrefix="1" applyFont="1" applyBorder="1" applyAlignment="1">
      <alignment horizontal="right"/>
    </xf>
    <xf numFmtId="0" fontId="21" fillId="0" borderId="0" xfId="0" quotePrefix="1" applyFont="1" applyBorder="1" applyAlignment="1">
      <alignment horizontal="right"/>
    </xf>
    <xf numFmtId="0" fontId="21" fillId="0" borderId="25" xfId="0" quotePrefix="1" applyFont="1" applyBorder="1" applyAlignment="1">
      <alignment horizontal="right"/>
    </xf>
    <xf numFmtId="1" fontId="21" fillId="0" borderId="0" xfId="0" applyNumberFormat="1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22" xfId="0" applyFont="1" applyBorder="1"/>
    <xf numFmtId="0" fontId="21" fillId="0" borderId="27" xfId="0" applyFont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0" quotePrefix="1" applyFont="1" applyAlignment="1">
      <alignment horizontal="right"/>
    </xf>
    <xf numFmtId="0" fontId="21" fillId="0" borderId="34" xfId="0" applyFont="1" applyBorder="1"/>
    <xf numFmtId="0" fontId="21" fillId="0" borderId="30" xfId="0" applyFont="1" applyBorder="1"/>
    <xf numFmtId="0" fontId="0" fillId="0" borderId="3" xfId="0" applyBorder="1"/>
    <xf numFmtId="0" fontId="0" fillId="0" borderId="36" xfId="0" applyBorder="1"/>
    <xf numFmtId="168" fontId="21" fillId="0" borderId="21" xfId="0" quotePrefix="1" applyNumberFormat="1" applyFont="1" applyBorder="1" applyAlignment="1">
      <alignment horizontal="right"/>
    </xf>
    <xf numFmtId="0" fontId="21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10" fontId="25" fillId="0" borderId="0" xfId="0" applyNumberFormat="1" applyFont="1" applyAlignment="1">
      <alignment horizontal="right"/>
    </xf>
    <xf numFmtId="170" fontId="26" fillId="0" borderId="0" xfId="0" applyNumberFormat="1" applyFont="1"/>
    <xf numFmtId="0" fontId="0" fillId="0" borderId="0" xfId="0" applyNumberFormat="1" applyFill="1" applyBorder="1"/>
    <xf numFmtId="0" fontId="15" fillId="0" borderId="0" xfId="0" applyFont="1" applyAlignment="1">
      <alignment horizontal="center"/>
    </xf>
    <xf numFmtId="0" fontId="5" fillId="0" borderId="21" xfId="0" applyFont="1" applyBorder="1"/>
    <xf numFmtId="0" fontId="5" fillId="0" borderId="0" xfId="0" applyFont="1" applyBorder="1"/>
    <xf numFmtId="166" fontId="0" fillId="0" borderId="0" xfId="0" applyNumberFormat="1" applyBorder="1"/>
    <xf numFmtId="168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167" fontId="0" fillId="0" borderId="0" xfId="0" applyNumberFormat="1" applyBorder="1"/>
    <xf numFmtId="0" fontId="9" fillId="0" borderId="21" xfId="0" applyFont="1" applyBorder="1"/>
    <xf numFmtId="168" fontId="0" fillId="0" borderId="0" xfId="0" applyNumberFormat="1" applyFill="1"/>
    <xf numFmtId="170" fontId="0" fillId="0" borderId="0" xfId="0" applyNumberFormat="1"/>
    <xf numFmtId="2" fontId="0" fillId="0" borderId="0" xfId="0" applyNumberFormat="1" applyFill="1" applyBorder="1"/>
    <xf numFmtId="166" fontId="0" fillId="0" borderId="0" xfId="0" applyNumberFormat="1" applyFill="1" applyBorder="1"/>
    <xf numFmtId="170" fontId="0" fillId="0" borderId="0" xfId="0" applyNumberFormat="1" applyBorder="1"/>
    <xf numFmtId="167" fontId="0" fillId="3" borderId="0" xfId="0" applyNumberFormat="1" applyFill="1"/>
    <xf numFmtId="167" fontId="0" fillId="0" borderId="0" xfId="0" applyNumberFormat="1"/>
    <xf numFmtId="0" fontId="5" fillId="0" borderId="23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25" xfId="0" applyFill="1" applyBorder="1"/>
    <xf numFmtId="167" fontId="0" fillId="0" borderId="25" xfId="0" applyNumberFormat="1" applyBorder="1"/>
    <xf numFmtId="0" fontId="0" fillId="0" borderId="0" xfId="0" applyBorder="1" applyAlignment="1">
      <alignment horizontal="right"/>
    </xf>
    <xf numFmtId="167" fontId="0" fillId="0" borderId="22" xfId="0" applyNumberFormat="1" applyBorder="1"/>
    <xf numFmtId="166" fontId="0" fillId="2" borderId="0" xfId="0" applyNumberFormat="1" applyFill="1"/>
    <xf numFmtId="2" fontId="0" fillId="0" borderId="0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0" fontId="9" fillId="0" borderId="0" xfId="0" applyFont="1" applyAlignment="1">
      <alignment horizontal="right"/>
    </xf>
    <xf numFmtId="0" fontId="18" fillId="0" borderId="0" xfId="0" applyFont="1"/>
    <xf numFmtId="10" fontId="0" fillId="0" borderId="0" xfId="0" applyNumberFormat="1"/>
    <xf numFmtId="0" fontId="14" fillId="0" borderId="0" xfId="0" applyFont="1" applyAlignment="1">
      <alignment horizontal="left"/>
    </xf>
    <xf numFmtId="166" fontId="0" fillId="0" borderId="0" xfId="0" applyNumberFormat="1" applyAlignment="1"/>
    <xf numFmtId="168" fontId="0" fillId="0" borderId="0" xfId="0" applyNumberFormat="1"/>
    <xf numFmtId="168" fontId="0" fillId="0" borderId="0" xfId="0" applyNumberFormat="1" applyAlignment="1">
      <alignment horizontal="center"/>
    </xf>
    <xf numFmtId="168" fontId="9" fillId="0" borderId="0" xfId="0" applyNumberFormat="1" applyFont="1"/>
    <xf numFmtId="168" fontId="0" fillId="0" borderId="0" xfId="0" quotePrefix="1" applyNumberFormat="1"/>
    <xf numFmtId="171" fontId="0" fillId="0" borderId="0" xfId="0" applyNumberFormat="1"/>
    <xf numFmtId="168" fontId="12" fillId="0" borderId="0" xfId="0" applyNumberFormat="1" applyFont="1" applyAlignment="1">
      <alignment horizontal="right"/>
    </xf>
    <xf numFmtId="168" fontId="9" fillId="0" borderId="0" xfId="0" quotePrefix="1" applyNumberFormat="1" applyFont="1"/>
    <xf numFmtId="168" fontId="12" fillId="0" borderId="0" xfId="0" quotePrefix="1" applyNumberFormat="1" applyFont="1"/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72" fontId="0" fillId="3" borderId="0" xfId="0" applyNumberFormat="1" applyFill="1"/>
    <xf numFmtId="168" fontId="0" fillId="0" borderId="28" xfId="0" applyNumberFormat="1" applyBorder="1"/>
    <xf numFmtId="0" fontId="0" fillId="0" borderId="0" xfId="0" applyAlignment="1"/>
    <xf numFmtId="0" fontId="6" fillId="0" borderId="0" xfId="0" applyFont="1" applyAlignment="1"/>
    <xf numFmtId="48" fontId="0" fillId="0" borderId="0" xfId="0" applyNumberFormat="1" applyFill="1"/>
    <xf numFmtId="0" fontId="18" fillId="0" borderId="0" xfId="0" applyFont="1" applyFill="1" applyAlignment="1">
      <alignment horizontal="right"/>
    </xf>
    <xf numFmtId="173" fontId="0" fillId="3" borderId="0" xfId="0" applyNumberFormat="1" applyFill="1"/>
    <xf numFmtId="0" fontId="6" fillId="3" borderId="0" xfId="0" applyFont="1" applyFill="1"/>
    <xf numFmtId="168" fontId="5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3" borderId="0" xfId="0" quotePrefix="1" applyFill="1"/>
    <xf numFmtId="0" fontId="7" fillId="0" borderId="0" xfId="0" applyFont="1" applyAlignment="1">
      <alignment horizontal="center"/>
    </xf>
    <xf numFmtId="2" fontId="0" fillId="4" borderId="0" xfId="0" applyNumberFormat="1" applyFill="1"/>
    <xf numFmtId="0" fontId="0" fillId="3" borderId="37" xfId="0" applyFill="1" applyBorder="1"/>
    <xf numFmtId="0" fontId="0" fillId="0" borderId="34" xfId="0" applyBorder="1" applyAlignment="1">
      <alignment horizontal="center"/>
    </xf>
    <xf numFmtId="0" fontId="0" fillId="4" borderId="37" xfId="0" applyFill="1" applyBorder="1"/>
    <xf numFmtId="10" fontId="0" fillId="3" borderId="0" xfId="0" applyNumberFormat="1" applyFill="1"/>
    <xf numFmtId="0" fontId="0" fillId="2" borderId="0" xfId="0" applyFill="1" applyAlignment="1">
      <alignment horizontal="right"/>
    </xf>
    <xf numFmtId="1" fontId="0" fillId="3" borderId="0" xfId="0" applyNumberFormat="1" applyFill="1" applyBorder="1" applyAlignment="1">
      <alignment horizontal="right"/>
    </xf>
    <xf numFmtId="0" fontId="12" fillId="3" borderId="0" xfId="0" applyFont="1" applyFill="1"/>
    <xf numFmtId="48" fontId="0" fillId="3" borderId="0" xfId="0" applyNumberFormat="1" applyFill="1"/>
    <xf numFmtId="48" fontId="0" fillId="0" borderId="0" xfId="0" applyNumberFormat="1" applyFill="1" applyAlignment="1">
      <alignment horizontal="center"/>
    </xf>
    <xf numFmtId="174" fontId="0" fillId="3" borderId="0" xfId="0" applyNumberFormat="1" applyFill="1"/>
    <xf numFmtId="0" fontId="14" fillId="0" borderId="0" xfId="0" applyFont="1" applyAlignment="1">
      <alignment horizontal="center"/>
    </xf>
    <xf numFmtId="174" fontId="0" fillId="0" borderId="0" xfId="0" applyNumberFormat="1" applyFill="1"/>
    <xf numFmtId="10" fontId="0" fillId="0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0" applyNumberFormat="1"/>
    <xf numFmtId="173" fontId="0" fillId="0" borderId="0" xfId="0" applyNumberFormat="1" applyAlignment="1">
      <alignment horizontal="center"/>
    </xf>
    <xf numFmtId="166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12" fillId="7" borderId="0" xfId="0" quotePrefix="1" applyNumberFormat="1" applyFont="1" applyFill="1"/>
    <xf numFmtId="0" fontId="20" fillId="0" borderId="0" xfId="0" applyFont="1"/>
    <xf numFmtId="0" fontId="0" fillId="0" borderId="18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18" xfId="0" applyNumberFormat="1" applyBorder="1" applyAlignment="1">
      <alignment horizontal="center"/>
    </xf>
    <xf numFmtId="0" fontId="1" fillId="0" borderId="12" xfId="8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1" fontId="0" fillId="2" borderId="0" xfId="0" applyNumberFormat="1" applyFill="1"/>
    <xf numFmtId="11" fontId="0" fillId="0" borderId="0" xfId="0" applyNumberFormat="1" applyFill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36" fillId="0" borderId="0" xfId="0" applyFont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168" fontId="0" fillId="8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4" fontId="0" fillId="4" borderId="0" xfId="0" applyNumberFormat="1" applyFill="1"/>
    <xf numFmtId="0" fontId="16" fillId="0" borderId="38" xfId="0" applyFont="1" applyBorder="1"/>
    <xf numFmtId="0" fontId="0" fillId="0" borderId="39" xfId="0" applyBorder="1"/>
    <xf numFmtId="0" fontId="0" fillId="0" borderId="40" xfId="0" applyBorder="1"/>
    <xf numFmtId="0" fontId="16" fillId="0" borderId="41" xfId="0" applyFont="1" applyBorder="1"/>
    <xf numFmtId="0" fontId="0" fillId="0" borderId="42" xfId="0" applyBorder="1"/>
    <xf numFmtId="0" fontId="16" fillId="0" borderId="43" xfId="0" applyFont="1" applyBorder="1"/>
    <xf numFmtId="0" fontId="0" fillId="0" borderId="44" xfId="0" applyBorder="1"/>
    <xf numFmtId="0" fontId="0" fillId="0" borderId="45" xfId="0" applyBorder="1"/>
    <xf numFmtId="0" fontId="37" fillId="0" borderId="0" xfId="0" applyFont="1"/>
    <xf numFmtId="0" fontId="0" fillId="3" borderId="0" xfId="0" applyFill="1" applyAlignment="1">
      <alignment horizontal="right"/>
    </xf>
    <xf numFmtId="0" fontId="0" fillId="8" borderId="0" xfId="0" applyFill="1" applyAlignment="1">
      <alignment horizontal="right"/>
    </xf>
    <xf numFmtId="167" fontId="0" fillId="8" borderId="0" xfId="0" applyNumberFormat="1" applyFill="1"/>
    <xf numFmtId="2" fontId="0" fillId="0" borderId="0" xfId="0" applyNumberFormat="1"/>
    <xf numFmtId="167" fontId="0" fillId="3" borderId="0" xfId="0" applyNumberFormat="1" applyFill="1" applyAlignment="1">
      <alignment horizontal="right"/>
    </xf>
    <xf numFmtId="167" fontId="0" fillId="4" borderId="0" xfId="0" applyNumberFormat="1" applyFill="1"/>
    <xf numFmtId="166" fontId="0" fillId="4" borderId="0" xfId="0" applyNumberFormat="1" applyFill="1"/>
    <xf numFmtId="166" fontId="0" fillId="4" borderId="0" xfId="0" applyNumberFormat="1" applyFill="1" applyAlignment="1">
      <alignment horizontal="right"/>
    </xf>
    <xf numFmtId="1" fontId="0" fillId="4" borderId="0" xfId="0" applyNumberFormat="1" applyFill="1"/>
    <xf numFmtId="168" fontId="0" fillId="4" borderId="0" xfId="0" applyNumberFormat="1" applyFill="1"/>
    <xf numFmtId="0" fontId="38" fillId="0" borderId="0" xfId="0" applyFont="1" applyAlignment="1">
      <alignment horizontal="center"/>
    </xf>
    <xf numFmtId="0" fontId="39" fillId="0" borderId="0" xfId="0" applyFont="1"/>
    <xf numFmtId="0" fontId="12" fillId="6" borderId="0" xfId="0" applyFont="1" applyFill="1" applyAlignment="1">
      <alignment horizontal="right"/>
    </xf>
    <xf numFmtId="14" fontId="0" fillId="0" borderId="0" xfId="0" applyNumberFormat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0" fillId="0" borderId="0" xfId="0" quotePrefix="1" applyFill="1"/>
    <xf numFmtId="168" fontId="5" fillId="0" borderId="0" xfId="0" applyNumberFormat="1" applyFont="1" applyAlignment="1">
      <alignment horizontal="left"/>
    </xf>
    <xf numFmtId="168" fontId="0" fillId="0" borderId="0" xfId="0" applyNumberFormat="1" applyAlignment="1">
      <alignment horizontal="left"/>
    </xf>
    <xf numFmtId="168" fontId="0" fillId="2" borderId="0" xfId="0" applyNumberFormat="1" applyFill="1"/>
    <xf numFmtId="0" fontId="0" fillId="6" borderId="0" xfId="0" applyFill="1" applyAlignment="1">
      <alignment horizontal="right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169" fontId="0" fillId="0" borderId="0" xfId="0" applyNumberFormat="1"/>
    <xf numFmtId="167" fontId="0" fillId="2" borderId="0" xfId="0" applyNumberFormat="1" applyFill="1"/>
    <xf numFmtId="166" fontId="0" fillId="0" borderId="0" xfId="0" applyNumberFormat="1" applyFill="1"/>
    <xf numFmtId="10" fontId="0" fillId="2" borderId="0" xfId="0" applyNumberFormat="1" applyFill="1"/>
    <xf numFmtId="0" fontId="5" fillId="0" borderId="17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1" fontId="0" fillId="3" borderId="48" xfId="0" applyNumberFormat="1" applyFill="1" applyBorder="1"/>
    <xf numFmtId="1" fontId="0" fillId="3" borderId="49" xfId="0" applyNumberFormat="1" applyFill="1" applyBorder="1"/>
    <xf numFmtId="0" fontId="0" fillId="2" borderId="0" xfId="0" applyNumberFormat="1" applyFill="1" applyBorder="1"/>
    <xf numFmtId="2" fontId="0" fillId="2" borderId="0" xfId="0" applyNumberFormat="1" applyFill="1" applyAlignment="1">
      <alignment horizontal="right"/>
    </xf>
    <xf numFmtId="0" fontId="20" fillId="0" borderId="0" xfId="0" applyFont="1" applyAlignment="1">
      <alignment horizontal="center"/>
    </xf>
    <xf numFmtId="0" fontId="0" fillId="2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/>
    </xf>
    <xf numFmtId="14" fontId="0" fillId="0" borderId="0" xfId="0" applyNumberFormat="1"/>
    <xf numFmtId="0" fontId="0" fillId="6" borderId="0" xfId="0" applyFill="1"/>
    <xf numFmtId="2" fontId="12" fillId="6" borderId="0" xfId="0" applyNumberFormat="1" applyFont="1" applyFill="1" applyAlignment="1">
      <alignment horizontal="right"/>
    </xf>
    <xf numFmtId="168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11" fontId="0" fillId="3" borderId="0" xfId="0" applyNumberFormat="1" applyFill="1"/>
    <xf numFmtId="11" fontId="0" fillId="0" borderId="0" xfId="0" applyNumberFormat="1" applyBorder="1" applyAlignment="1">
      <alignment horizontal="center"/>
    </xf>
    <xf numFmtId="0" fontId="0" fillId="6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75" fontId="5" fillId="0" borderId="19" xfId="0" applyNumberFormat="1" applyFont="1" applyBorder="1" applyAlignment="1">
      <alignment horizontal="center"/>
    </xf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5" applyAlignment="1" applyProtection="1">
      <alignment horizontal="left"/>
    </xf>
    <xf numFmtId="0" fontId="3" fillId="0" borderId="0" xfId="5" applyAlignment="1" applyProtection="1"/>
    <xf numFmtId="0" fontId="12" fillId="9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40" fillId="11" borderId="0" xfId="0" applyFont="1" applyFill="1"/>
    <xf numFmtId="0" fontId="40" fillId="12" borderId="0" xfId="0" applyFont="1" applyFill="1"/>
    <xf numFmtId="0" fontId="40" fillId="13" borderId="0" xfId="0" applyFont="1" applyFill="1"/>
    <xf numFmtId="0" fontId="40" fillId="14" borderId="0" xfId="0" applyFont="1" applyFill="1"/>
    <xf numFmtId="0" fontId="40" fillId="15" borderId="0" xfId="0" applyFont="1" applyFill="1"/>
  </cellXfs>
  <cellStyles count="9">
    <cellStyle name="Comma [0]_BandW.XLS Chart 8" xfId="1" xr:uid="{00000000-0005-0000-0000-000000000000}"/>
    <cellStyle name="Comma_BandW.XLS Chart 8" xfId="2" xr:uid="{00000000-0005-0000-0000-000001000000}"/>
    <cellStyle name="Currency [0]_BandW.XLS Chart 8" xfId="3" xr:uid="{00000000-0005-0000-0000-000002000000}"/>
    <cellStyle name="Currency_BandW.XLS Chart 8" xfId="4" xr:uid="{00000000-0005-0000-0000-000003000000}"/>
    <cellStyle name="Link" xfId="5" builtinId="8"/>
    <cellStyle name="Normal_BandW.XLS Chart 8" xfId="6" xr:uid="{00000000-0005-0000-0000-000005000000}"/>
    <cellStyle name="Normal_Codd" xfId="7" xr:uid="{00000000-0005-0000-0000-000006000000}"/>
    <cellStyle name="Prozent" xfId="8" builtinId="5"/>
    <cellStyle name="Standard" xfId="0" builtinId="0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FF99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Charge Cycle:  i [A]</a:t>
            </a:r>
          </a:p>
        </c:rich>
      </c:tx>
      <c:layout>
        <c:manualLayout>
          <c:xMode val="edge"/>
          <c:yMode val="edge"/>
          <c:x val="0.2954548435228519"/>
          <c:y val="3.4285714285714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9600950737012"/>
          <c:y val="0.22"/>
          <c:w val="0.65495933843876952"/>
          <c:h val="0.58571428571428574"/>
        </c:manualLayout>
      </c:layout>
      <c:scatterChart>
        <c:scatterStyle val="lineMarker"/>
        <c:varyColors val="0"/>
        <c:ser>
          <c:idx val="0"/>
          <c:order val="0"/>
          <c:tx>
            <c:strRef>
              <c:f>SimSk!$I$33:$I$34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SimSk!$H$35:$H$61</c:f>
              <c:numCache>
                <c:formatCode>General</c:formatCode>
                <c:ptCount val="27"/>
                <c:pt idx="0">
                  <c:v>0</c:v>
                </c:pt>
                <c:pt idx="1">
                  <c:v>3.6824373378569055E-4</c:v>
                </c:pt>
                <c:pt idx="2">
                  <c:v>7.3648746757138111E-4</c:v>
                </c:pt>
                <c:pt idx="3">
                  <c:v>1.1047312013570717E-3</c:v>
                </c:pt>
                <c:pt idx="4">
                  <c:v>1.4729749351427622E-3</c:v>
                </c:pt>
                <c:pt idx="5">
                  <c:v>1.8412186689284527E-3</c:v>
                </c:pt>
                <c:pt idx="6">
                  <c:v>2.2094624027141434E-3</c:v>
                </c:pt>
                <c:pt idx="7">
                  <c:v>2.5777061364998339E-3</c:v>
                </c:pt>
                <c:pt idx="8">
                  <c:v>2.9459498702855244E-3</c:v>
                </c:pt>
                <c:pt idx="9">
                  <c:v>3.3141936040712149E-3</c:v>
                </c:pt>
                <c:pt idx="10">
                  <c:v>3.6824373378569054E-3</c:v>
                </c:pt>
                <c:pt idx="11">
                  <c:v>4.0506810716425959E-3</c:v>
                </c:pt>
                <c:pt idx="12">
                  <c:v>4.4189248054282869E-3</c:v>
                </c:pt>
                <c:pt idx="13">
                  <c:v>4.7871685392139778E-3</c:v>
                </c:pt>
                <c:pt idx="14">
                  <c:v>5.1554122729996687E-3</c:v>
                </c:pt>
                <c:pt idx="15">
                  <c:v>5.5236560067853597E-3</c:v>
                </c:pt>
                <c:pt idx="16">
                  <c:v>5.8918997405710506E-3</c:v>
                </c:pt>
                <c:pt idx="17">
                  <c:v>6.2601434743567415E-3</c:v>
                </c:pt>
                <c:pt idx="18">
                  <c:v>6.6283872081424325E-3</c:v>
                </c:pt>
                <c:pt idx="19">
                  <c:v>6.9966309419281234E-3</c:v>
                </c:pt>
                <c:pt idx="20">
                  <c:v>7.3648746757138143E-3</c:v>
                </c:pt>
                <c:pt idx="21">
                  <c:v>7.7331184094995052E-3</c:v>
                </c:pt>
                <c:pt idx="22">
                  <c:v>8.1013621432851953E-3</c:v>
                </c:pt>
                <c:pt idx="23">
                  <c:v>8.4696058770708862E-3</c:v>
                </c:pt>
                <c:pt idx="24">
                  <c:v>8.8378496108565772E-3</c:v>
                </c:pt>
                <c:pt idx="25">
                  <c:v>9.2060933446422681E-3</c:v>
                </c:pt>
                <c:pt idx="26">
                  <c:v>9.574337078427959E-3</c:v>
                </c:pt>
              </c:numCache>
            </c:numRef>
          </c:xVal>
          <c:yVal>
            <c:numRef>
              <c:f>SimSk!$I$35:$I$61</c:f>
              <c:numCache>
                <c:formatCode>0.0</c:formatCode>
                <c:ptCount val="27"/>
                <c:pt idx="0">
                  <c:v>0</c:v>
                </c:pt>
                <c:pt idx="1">
                  <c:v>0.25123955725181407</c:v>
                </c:pt>
                <c:pt idx="2">
                  <c:v>0.48923415460196462</c:v>
                </c:pt>
                <c:pt idx="3">
                  <c:v>0.71468204579964489</c:v>
                </c:pt>
                <c:pt idx="4">
                  <c:v>0.92824467373905983</c:v>
                </c:pt>
                <c:pt idx="5">
                  <c:v>1.1305486110706249</c:v>
                </c:pt>
                <c:pt idx="6">
                  <c:v>1.3221873985061507</c:v>
                </c:pt>
                <c:pt idx="7">
                  <c:v>1.5037232862114287</c:v>
                </c:pt>
                <c:pt idx="8">
                  <c:v>1.6756888833953005</c:v>
                </c:pt>
                <c:pt idx="9">
                  <c:v>1.8385887209349498</c:v>
                </c:pt>
                <c:pt idx="10">
                  <c:v>1.992900731622008</c:v>
                </c:pt>
                <c:pt idx="11">
                  <c:v>2.1390776523723862</c:v>
                </c:pt>
                <c:pt idx="12">
                  <c:v>2.277548352513775</c:v>
                </c:pt>
                <c:pt idx="13">
                  <c:v>2.4087190920478871</c:v>
                </c:pt>
                <c:pt idx="14">
                  <c:v>2.5329747135790663</c:v>
                </c:pt>
                <c:pt idx="15">
                  <c:v>2.6506797714062702</c:v>
                </c:pt>
                <c:pt idx="16">
                  <c:v>2.7621796010910682</c:v>
                </c:pt>
                <c:pt idx="17">
                  <c:v>2.867801332639683</c:v>
                </c:pt>
                <c:pt idx="18">
                  <c:v>2.9678548502716362</c:v>
                </c:pt>
                <c:pt idx="19">
                  <c:v>3.0626337015908818</c:v>
                </c:pt>
                <c:pt idx="20">
                  <c:v>3.1524159588268517</c:v>
                </c:pt>
                <c:pt idx="21">
                  <c:v>3.2374650346722058</c:v>
                </c:pt>
                <c:pt idx="22">
                  <c:v>3.3180304551108728</c:v>
                </c:pt>
                <c:pt idx="23">
                  <c:v>3.3943485915038156</c:v>
                </c:pt>
                <c:pt idx="24">
                  <c:v>3.466643354080345</c:v>
                </c:pt>
                <c:pt idx="25">
                  <c:v>3.5351268488696652</c:v>
                </c:pt>
                <c:pt idx="26">
                  <c:v>3.600000000000001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C-4551-B89A-6B67831A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56032"/>
        <c:axId val="174330624"/>
      </c:scatterChart>
      <c:valAx>
        <c:axId val="1741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[sec]</a:t>
                </a:r>
              </a:p>
            </c:rich>
          </c:tx>
          <c:layout>
            <c:manualLayout>
              <c:xMode val="edge"/>
              <c:yMode val="edge"/>
              <c:x val="0.42562026409585657"/>
              <c:y val="0.89142857142857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330624"/>
        <c:crosses val="autoZero"/>
        <c:crossBetween val="midCat"/>
      </c:valAx>
      <c:valAx>
        <c:axId val="17433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3.3057884589969444E-2"/>
              <c:y val="0.471428571428571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156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30664597858619"/>
          <c:y val="0.48285714285714287"/>
          <c:w val="0.13016542057300468"/>
          <c:h val="6.2857142857142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Charge - Interrupt Cycle</a:t>
            </a:r>
          </a:p>
        </c:rich>
      </c:tx>
      <c:layout>
        <c:manualLayout>
          <c:xMode val="edge"/>
          <c:yMode val="edge"/>
          <c:x val="0.38105263157894737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89473684210522E-2"/>
          <c:y val="0.17288801571709234"/>
          <c:w val="0.80947368421052635"/>
          <c:h val="0.66011787819253442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Sim48k!$R$33:$R$34</c:f>
              <c:strCache>
                <c:ptCount val="2"/>
                <c:pt idx="0">
                  <c:v>UL</c:v>
                </c:pt>
                <c:pt idx="1">
                  <c:v>[V]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Sim48k!$P$35:$P$197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0.77669249224727932</c:v>
                </c:pt>
                <c:pt idx="2">
                  <c:v>1.5533849844945586</c:v>
                </c:pt>
                <c:pt idx="3">
                  <c:v>2.3300774767418382</c:v>
                </c:pt>
                <c:pt idx="4">
                  <c:v>3.1067699689891173</c:v>
                </c:pt>
                <c:pt idx="5">
                  <c:v>3.8834624612363964</c:v>
                </c:pt>
                <c:pt idx="6">
                  <c:v>4.6601549534836764</c:v>
                </c:pt>
                <c:pt idx="7">
                  <c:v>5.4368474457309555</c:v>
                </c:pt>
                <c:pt idx="8">
                  <c:v>6.2135399379782346</c:v>
                </c:pt>
                <c:pt idx="9">
                  <c:v>6.9902324302255137</c:v>
                </c:pt>
                <c:pt idx="10">
                  <c:v>7.7669249224727928</c:v>
                </c:pt>
                <c:pt idx="11">
                  <c:v>8.5436174147200727</c:v>
                </c:pt>
                <c:pt idx="12">
                  <c:v>9.3203099069673527</c:v>
                </c:pt>
                <c:pt idx="13">
                  <c:v>10.097002399214633</c:v>
                </c:pt>
                <c:pt idx="14">
                  <c:v>10.873694891461913</c:v>
                </c:pt>
                <c:pt idx="15">
                  <c:v>11.650387383709193</c:v>
                </c:pt>
                <c:pt idx="16">
                  <c:v>12.427079875956473</c:v>
                </c:pt>
                <c:pt idx="17">
                  <c:v>13.203772368203753</c:v>
                </c:pt>
                <c:pt idx="18">
                  <c:v>13.980464860451033</c:v>
                </c:pt>
                <c:pt idx="19">
                  <c:v>14.757157352698313</c:v>
                </c:pt>
                <c:pt idx="20">
                  <c:v>15.533849844945593</c:v>
                </c:pt>
                <c:pt idx="21">
                  <c:v>16.310542337192871</c:v>
                </c:pt>
                <c:pt idx="22">
                  <c:v>17.087234829440153</c:v>
                </c:pt>
                <c:pt idx="23">
                  <c:v>17.863927321687431</c:v>
                </c:pt>
                <c:pt idx="24">
                  <c:v>18.640619813934713</c:v>
                </c:pt>
                <c:pt idx="25">
                  <c:v>19.417312306181991</c:v>
                </c:pt>
                <c:pt idx="26">
                  <c:v>20.194004798429273</c:v>
                </c:pt>
                <c:pt idx="27">
                  <c:v>20.194004798429273</c:v>
                </c:pt>
                <c:pt idx="28">
                  <c:v>20.221720626071683</c:v>
                </c:pt>
                <c:pt idx="29">
                  <c:v>20.249436453714093</c:v>
                </c:pt>
                <c:pt idx="30">
                  <c:v>20.277152281356503</c:v>
                </c:pt>
                <c:pt idx="31">
                  <c:v>20.304868108998914</c:v>
                </c:pt>
                <c:pt idx="32">
                  <c:v>20.332583936641324</c:v>
                </c:pt>
                <c:pt idx="33">
                  <c:v>20.360299764283738</c:v>
                </c:pt>
                <c:pt idx="34">
                  <c:v>20.388015591926148</c:v>
                </c:pt>
                <c:pt idx="35">
                  <c:v>20.415731419568559</c:v>
                </c:pt>
                <c:pt idx="36">
                  <c:v>20.443447247210969</c:v>
                </c:pt>
                <c:pt idx="37">
                  <c:v>20.471163074853379</c:v>
                </c:pt>
                <c:pt idx="38">
                  <c:v>20.498878902495793</c:v>
                </c:pt>
                <c:pt idx="39">
                  <c:v>20.526594730138203</c:v>
                </c:pt>
                <c:pt idx="40">
                  <c:v>20.554310557780614</c:v>
                </c:pt>
                <c:pt idx="41">
                  <c:v>20.582026385423024</c:v>
                </c:pt>
                <c:pt idx="42">
                  <c:v>20.609742213065434</c:v>
                </c:pt>
                <c:pt idx="43">
                  <c:v>20.637458040707845</c:v>
                </c:pt>
                <c:pt idx="44">
                  <c:v>20.665173868350259</c:v>
                </c:pt>
                <c:pt idx="45">
                  <c:v>20.692889695992669</c:v>
                </c:pt>
                <c:pt idx="46">
                  <c:v>20.720605523635079</c:v>
                </c:pt>
                <c:pt idx="47">
                  <c:v>20.74832135127749</c:v>
                </c:pt>
                <c:pt idx="48">
                  <c:v>20.7760371789199</c:v>
                </c:pt>
                <c:pt idx="49">
                  <c:v>20.80375300656231</c:v>
                </c:pt>
                <c:pt idx="50">
                  <c:v>20.831468834204721</c:v>
                </c:pt>
                <c:pt idx="51">
                  <c:v>20.859184661847131</c:v>
                </c:pt>
                <c:pt idx="52">
                  <c:v>20.886900489489541</c:v>
                </c:pt>
                <c:pt idx="53">
                  <c:v>20.914616317131951</c:v>
                </c:pt>
                <c:pt idx="54">
                  <c:v>20.942332144774369</c:v>
                </c:pt>
                <c:pt idx="55">
                  <c:v>20.970047972416779</c:v>
                </c:pt>
                <c:pt idx="56">
                  <c:v>20.99776380005919</c:v>
                </c:pt>
                <c:pt idx="57">
                  <c:v>21.0254796277016</c:v>
                </c:pt>
                <c:pt idx="58">
                  <c:v>21.05319545534401</c:v>
                </c:pt>
                <c:pt idx="59">
                  <c:v>21.08091128298642</c:v>
                </c:pt>
                <c:pt idx="60">
                  <c:v>21.108627110628831</c:v>
                </c:pt>
                <c:pt idx="61">
                  <c:v>21.136342938271241</c:v>
                </c:pt>
                <c:pt idx="62">
                  <c:v>21.164058765913651</c:v>
                </c:pt>
                <c:pt idx="63">
                  <c:v>21.191774593556062</c:v>
                </c:pt>
                <c:pt idx="64">
                  <c:v>21.219490421198472</c:v>
                </c:pt>
                <c:pt idx="65">
                  <c:v>21.247206248840886</c:v>
                </c:pt>
                <c:pt idx="66">
                  <c:v>21.274922076483296</c:v>
                </c:pt>
                <c:pt idx="67">
                  <c:v>21.302637904125707</c:v>
                </c:pt>
                <c:pt idx="68">
                  <c:v>21.330353731768117</c:v>
                </c:pt>
                <c:pt idx="69">
                  <c:v>21.358069559410527</c:v>
                </c:pt>
                <c:pt idx="70">
                  <c:v>21.385785387052938</c:v>
                </c:pt>
                <c:pt idx="71">
                  <c:v>21.413501214695351</c:v>
                </c:pt>
                <c:pt idx="72">
                  <c:v>21.441217042337765</c:v>
                </c:pt>
                <c:pt idx="73">
                  <c:v>21.468932869980176</c:v>
                </c:pt>
                <c:pt idx="74">
                  <c:v>21.496648697622586</c:v>
                </c:pt>
                <c:pt idx="75">
                  <c:v>21.524364525264996</c:v>
                </c:pt>
                <c:pt idx="76">
                  <c:v>21.552080352907407</c:v>
                </c:pt>
                <c:pt idx="77">
                  <c:v>21.579796180549817</c:v>
                </c:pt>
                <c:pt idx="78">
                  <c:v>21.607512008192227</c:v>
                </c:pt>
                <c:pt idx="79">
                  <c:v>21.635227835834637</c:v>
                </c:pt>
                <c:pt idx="80">
                  <c:v>21.662943663477048</c:v>
                </c:pt>
                <c:pt idx="81">
                  <c:v>21.690659491119462</c:v>
                </c:pt>
                <c:pt idx="82">
                  <c:v>21.718375318761872</c:v>
                </c:pt>
                <c:pt idx="83">
                  <c:v>21.746091146404282</c:v>
                </c:pt>
                <c:pt idx="84">
                  <c:v>21.773806974046693</c:v>
                </c:pt>
                <c:pt idx="85">
                  <c:v>21.801522801689103</c:v>
                </c:pt>
                <c:pt idx="86">
                  <c:v>21.829238629331513</c:v>
                </c:pt>
                <c:pt idx="87">
                  <c:v>21.856954456973924</c:v>
                </c:pt>
                <c:pt idx="88">
                  <c:v>21.884670284616341</c:v>
                </c:pt>
                <c:pt idx="89">
                  <c:v>21.912386112258751</c:v>
                </c:pt>
                <c:pt idx="90">
                  <c:v>21.940101939901162</c:v>
                </c:pt>
                <c:pt idx="91">
                  <c:v>21.967817767543572</c:v>
                </c:pt>
                <c:pt idx="92">
                  <c:v>21.995533595185982</c:v>
                </c:pt>
                <c:pt idx="93">
                  <c:v>22.023249422828393</c:v>
                </c:pt>
                <c:pt idx="94">
                  <c:v>22.050965250470803</c:v>
                </c:pt>
                <c:pt idx="95">
                  <c:v>22.078681078113213</c:v>
                </c:pt>
                <c:pt idx="96">
                  <c:v>22.106396905755624</c:v>
                </c:pt>
                <c:pt idx="97">
                  <c:v>22.134112733398037</c:v>
                </c:pt>
                <c:pt idx="98">
                  <c:v>22.161828561040448</c:v>
                </c:pt>
                <c:pt idx="99">
                  <c:v>22.189544388682858</c:v>
                </c:pt>
                <c:pt idx="100">
                  <c:v>22.217260216325268</c:v>
                </c:pt>
                <c:pt idx="101">
                  <c:v>22.244976043967679</c:v>
                </c:pt>
                <c:pt idx="102">
                  <c:v>22.272691871610089</c:v>
                </c:pt>
                <c:pt idx="115">
                  <c:v>20.360299764283738</c:v>
                </c:pt>
              </c:numCache>
            </c:numRef>
          </c:xVal>
          <c:yVal>
            <c:numRef>
              <c:f>Sim48k!$R$35:$R$197</c:f>
              <c:numCache>
                <c:formatCode>General</c:formatCode>
                <c:ptCount val="163"/>
                <c:pt idx="0">
                  <c:v>60</c:v>
                </c:pt>
                <c:pt idx="1">
                  <c:v>56.454324032719384</c:v>
                </c:pt>
                <c:pt idx="2">
                  <c:v>53.118178366521285</c:v>
                </c:pt>
                <c:pt idx="3">
                  <c:v>49.979180892189618</c:v>
                </c:pt>
                <c:pt idx="4">
                  <c:v>47.025681216292824</c:v>
                </c:pt>
                <c:pt idx="5">
                  <c:v>44.246717420732679</c:v>
                </c:pt>
                <c:pt idx="6">
                  <c:v>41.6319753775702</c:v>
                </c:pt>
                <c:pt idx="7">
                  <c:v>39.171750468125708</c:v>
                </c:pt>
                <c:pt idx="8">
                  <c:v>36.856911564273261</c:v>
                </c:pt>
                <c:pt idx="9">
                  <c:v>34.678867138246083</c:v>
                </c:pt>
                <c:pt idx="10">
                  <c:v>32.629533375169473</c:v>
                </c:pt>
                <c:pt idx="11">
                  <c:v>30.701304169970818</c:v>
                </c:pt>
                <c:pt idx="12">
                  <c:v>28.887022897310189</c:v>
                </c:pt>
                <c:pt idx="13">
                  <c:v>27.179955849755551</c:v>
                </c:pt>
                <c:pt idx="14">
                  <c:v>25.573767245618445</c:v>
                </c:pt>
                <c:pt idx="15">
                  <c:v>24.062495713691479</c:v>
                </c:pt>
                <c:pt idx="16">
                  <c:v>22.640532167610999</c:v>
                </c:pt>
                <c:pt idx="17">
                  <c:v>21.302598987725293</c:v>
                </c:pt>
                <c:pt idx="18">
                  <c:v>20.043730433202064</c:v>
                </c:pt>
                <c:pt idx="19">
                  <c:v>18.859254211674461</c:v>
                </c:pt>
                <c:pt idx="20">
                  <c:v>17.744774138021633</c:v>
                </c:pt>
                <c:pt idx="21">
                  <c:v>16.696153817921527</c:v>
                </c:pt>
                <c:pt idx="22">
                  <c:v>15.70950129561778</c:v>
                </c:pt>
                <c:pt idx="23">
                  <c:v>14.781154608920524</c:v>
                </c:pt>
                <c:pt idx="24">
                  <c:v>13.907668197828711</c:v>
                </c:pt>
                <c:pt idx="25">
                  <c:v>13.085800116329471</c:v>
                </c:pt>
                <c:pt idx="26">
                  <c:v>12.312499999911015</c:v>
                </c:pt>
                <c:pt idx="27" formatCode="0.0">
                  <c:v>1.2312499999911015</c:v>
                </c:pt>
                <c:pt idx="28" formatCode="0.0">
                  <c:v>-42.206080547600479</c:v>
                </c:pt>
                <c:pt idx="29" formatCode="0.0">
                  <c:v>-84.884204551203595</c:v>
                </c:pt>
                <c:pt idx="30" formatCode="0.0">
                  <c:v>-126.13244190829133</c:v>
                </c:pt>
                <c:pt idx="31" formatCode="0.0">
                  <c:v>-165.30409442261498</c:v>
                </c:pt>
                <c:pt idx="32" formatCode="0.0">
                  <c:v>-201.78658147358334</c:v>
                </c:pt>
                <c:pt idx="33" formatCode="0.0">
                  <c:v>-235.01101620812764</c:v>
                </c:pt>
                <c:pt idx="34" formatCode="0.0">
                  <c:v>-264.46107261157852</c:v>
                </c:pt>
                <c:pt idx="35" formatCode="0.0">
                  <c:v>-289.68100531011629</c:v>
                </c:pt>
                <c:pt idx="36" formatCode="0.0">
                  <c:v>-310.28269760472631</c:v>
                </c:pt>
                <c:pt idx="37" formatCode="0.0">
                  <c:v>-325.95162881564653</c:v>
                </c:pt>
                <c:pt idx="38" formatCode="0.0">
                  <c:v>-336.45166927739211</c:v>
                </c:pt>
                <c:pt idx="39" formatCode="0.0">
                  <c:v>-341.62862999204367</c:v>
                </c:pt>
                <c:pt idx="40" formatCode="0.0">
                  <c:v>-341.41251372541569</c:v>
                </c:pt>
                <c:pt idx="41" formatCode="0.0">
                  <c:v>-335.81843490305323</c:v>
                </c:pt>
                <c:pt idx="42" formatCode="0.0">
                  <c:v>-324.94619670490204</c:v>
                </c:pt>
                <c:pt idx="43" formatCode="0.0">
                  <c:v>-308.97853493646721</c:v>
                </c:pt>
                <c:pt idx="44" formatCode="0.0">
                  <c:v>-288.17805923637673</c:v>
                </c:pt>
                <c:pt idx="45" formatCode="0.0">
                  <c:v>-262.88294263538268</c:v>
                </c:pt>
                <c:pt idx="46" formatCode="0.0">
                  <c:v>-233.50143008887505</c:v>
                </c:pt>
                <c:pt idx="47" formatCode="0.0">
                  <c:v>-200.50525505690823</c:v>
                </c:pt>
                <c:pt idx="48" formatCode="0.0">
                  <c:v>-164.42207021437565</c:v>
                </c:pt>
                <c:pt idx="49" formatCode="0.0">
                  <c:v>-125.82701367450744</c:v>
                </c:pt>
                <c:pt idx="50" formatCode="0.0">
                  <c:v>-85.333545463971902</c:v>
                </c:pt>
                <c:pt idx="51" formatCode="0.0">
                  <c:v>-43.583700191380657</c:v>
                </c:pt>
                <c:pt idx="52" formatCode="0.0">
                  <c:v>-1.2379107310939208</c:v>
                </c:pt>
                <c:pt idx="53" formatCode="0.0">
                  <c:v>41.03543583393818</c:v>
                </c:pt>
                <c:pt idx="54" formatCode="0.0">
                  <c:v>82.570544898816536</c:v>
                </c:pt>
                <c:pt idx="55" formatCode="0.0">
                  <c:v>122.71469728306997</c:v>
                </c:pt>
                <c:pt idx="56" formatCode="0.0">
                  <c:v>160.83850343238339</c:v>
                </c:pt>
                <c:pt idx="57" formatCode="0.0">
                  <c:v>196.34576783308242</c:v>
                </c:pt>
                <c:pt idx="58" formatCode="0.0">
                  <c:v>228.6828090869553</c:v>
                </c:pt>
                <c:pt idx="59" formatCode="0.0">
                  <c:v>257.34709000479967</c:v>
                </c:pt>
                <c:pt idx="60" formatCode="0.0">
                  <c:v>281.89502326291301</c:v>
                </c:pt>
                <c:pt idx="61" formatCode="0.0">
                  <c:v>301.94883144643023</c:v>
                </c:pt>
                <c:pt idx="62" formatCode="0.0">
                  <c:v>317.20235546320396</c:v>
                </c:pt>
                <c:pt idx="63" formatCode="0.0">
                  <c:v>327.42572210893235</c:v>
                </c:pt>
                <c:pt idx="64" formatCode="0.0">
                  <c:v>332.46879973027569</c:v>
                </c:pt>
                <c:pt idx="65" formatCode="0.0">
                  <c:v>332.26339017865325</c:v>
                </c:pt>
                <c:pt idx="66" formatCode="0.0">
                  <c:v>326.82412526769627</c:v>
                </c:pt>
                <c:pt idx="67" formatCode="0.0">
                  <c:v>316.24805642491918</c:v>
                </c:pt>
                <c:pt idx="68" formatCode="0.0">
                  <c:v>300.71294683945234</c:v>
                </c:pt>
                <c:pt idx="69" formatCode="0.0">
                  <c:v>280.47429582767114</c:v>
                </c:pt>
                <c:pt idx="70" formatCode="0.0">
                  <c:v>255.8611450459897</c:v>
                </c:pt>
                <c:pt idx="71" formatCode="0.0">
                  <c:v>227.27073526246329</c:v>
                </c:pt>
                <c:pt idx="72" formatCode="0.0">
                  <c:v>195.16210035733883</c:v>
                </c:pt>
                <c:pt idx="73" formatCode="0.0">
                  <c:v>160.04870177684072</c:v>
                </c:pt>
                <c:pt idx="74" formatCode="0.0">
                  <c:v>122.49022155654005</c:v>
                </c:pt>
                <c:pt idx="75" formatCode="0.0">
                  <c:v>83.083645029647158</c:v>
                </c:pt>
                <c:pt idx="76" formatCode="0.0">
                  <c:v>42.453775240798244</c:v>
                </c:pt>
                <c:pt idx="77" formatCode="0.0">
                  <c:v>1.2433297301606487</c:v>
                </c:pt>
                <c:pt idx="78" formatCode="0.0">
                  <c:v>-39.897223395341797</c:v>
                </c:pt>
                <c:pt idx="79" formatCode="0.0">
                  <c:v>-80.319929420456489</c:v>
                </c:pt>
                <c:pt idx="80" formatCode="0.0">
                  <c:v>-119.38954909952997</c:v>
                </c:pt>
                <c:pt idx="81" formatCode="0.0">
                  <c:v>-156.49353827016634</c:v>
                </c:pt>
                <c:pt idx="82" formatCode="0.0">
                  <c:v>-191.05164827210271</c:v>
                </c:pt>
                <c:pt idx="83" formatCode="0.0">
                  <c:v>-222.52499675472509</c:v>
                </c:pt>
                <c:pt idx="84" formatCode="0.0">
                  <c:v>-250.4244671264637</c:v>
                </c:pt>
                <c:pt idx="85" formatCode="0.0">
                  <c:v>-274.31830578329163</c:v>
                </c:pt>
                <c:pt idx="86" formatCode="0.0">
                  <c:v>-293.83879917545994</c:v>
                </c:pt>
                <c:pt idx="87" formatCode="0.0">
                  <c:v>-308.68792752342</c:v>
                </c:pt>
                <c:pt idx="88" formatCode="0.0">
                  <c:v>-318.64190833926153</c:v>
                </c:pt>
                <c:pt idx="89" formatCode="0.0">
                  <c:v>-323.55456058797546</c:v>
                </c:pt>
                <c:pt idx="90" formatCode="0.0">
                  <c:v>-323.35943905204027</c:v>
                </c:pt>
                <c:pt idx="91" formatCode="0.0">
                  <c:v>-318.07070794590783</c:v>
                </c:pt>
                <c:pt idx="92" formatCode="0.0">
                  <c:v>-307.7827427553629</c:v>
                </c:pt>
                <c:pt idx="93" formatCode="0.0">
                  <c:v>-292.66846933553865</c:v>
                </c:pt>
                <c:pt idx="94" formatCode="0.0">
                  <c:v>-272.97646917431604</c:v>
                </c:pt>
                <c:pt idx="95" formatCode="0.0">
                  <c:v>-249.02689910224223</c:v>
                </c:pt>
                <c:pt idx="96" formatCode="0.0">
                  <c:v>-221.20629230186245</c:v>
                </c:pt>
                <c:pt idx="97" formatCode="0.0">
                  <c:v>-189.96132494760496</c:v>
                </c:pt>
                <c:pt idx="98" formatCode="0.0">
                  <c:v>-155.79164891917787</c:v>
                </c:pt>
                <c:pt idx="99" formatCode="0.0">
                  <c:v>-119.24190552592005</c:v>
                </c:pt>
                <c:pt idx="100" formatCode="0.0">
                  <c:v>-80.893047831902635</c:v>
                </c:pt>
                <c:pt idx="101" formatCode="0.0">
                  <c:v>-41.353109786503197</c:v>
                </c:pt>
                <c:pt idx="102" formatCode="0.0">
                  <c:v>-1.2475687797966692</c:v>
                </c:pt>
                <c:pt idx="115" formatCode="0.000">
                  <c:v>-32.059542887055223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29-40F9-B85A-C82FBAF2DFE3}"/>
            </c:ext>
          </c:extLst>
        </c:ser>
        <c:ser>
          <c:idx val="2"/>
          <c:order val="2"/>
          <c:tx>
            <c:strRef>
              <c:f>Sim48k!$S$33:$S$34</c:f>
              <c:strCache>
                <c:ptCount val="2"/>
                <c:pt idx="0">
                  <c:v>Uc</c:v>
                </c:pt>
                <c:pt idx="1">
                  <c:v>[V]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Sim48k!$P$35:$P$197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0.77669249224727932</c:v>
                </c:pt>
                <c:pt idx="2">
                  <c:v>1.5533849844945586</c:v>
                </c:pt>
                <c:pt idx="3">
                  <c:v>2.3300774767418382</c:v>
                </c:pt>
                <c:pt idx="4">
                  <c:v>3.1067699689891173</c:v>
                </c:pt>
                <c:pt idx="5">
                  <c:v>3.8834624612363964</c:v>
                </c:pt>
                <c:pt idx="6">
                  <c:v>4.6601549534836764</c:v>
                </c:pt>
                <c:pt idx="7">
                  <c:v>5.4368474457309555</c:v>
                </c:pt>
                <c:pt idx="8">
                  <c:v>6.2135399379782346</c:v>
                </c:pt>
                <c:pt idx="9">
                  <c:v>6.9902324302255137</c:v>
                </c:pt>
                <c:pt idx="10">
                  <c:v>7.7669249224727928</c:v>
                </c:pt>
                <c:pt idx="11">
                  <c:v>8.5436174147200727</c:v>
                </c:pt>
                <c:pt idx="12">
                  <c:v>9.3203099069673527</c:v>
                </c:pt>
                <c:pt idx="13">
                  <c:v>10.097002399214633</c:v>
                </c:pt>
                <c:pt idx="14">
                  <c:v>10.873694891461913</c:v>
                </c:pt>
                <c:pt idx="15">
                  <c:v>11.650387383709193</c:v>
                </c:pt>
                <c:pt idx="16">
                  <c:v>12.427079875956473</c:v>
                </c:pt>
                <c:pt idx="17">
                  <c:v>13.203772368203753</c:v>
                </c:pt>
                <c:pt idx="18">
                  <c:v>13.980464860451033</c:v>
                </c:pt>
                <c:pt idx="19">
                  <c:v>14.757157352698313</c:v>
                </c:pt>
                <c:pt idx="20">
                  <c:v>15.533849844945593</c:v>
                </c:pt>
                <c:pt idx="21">
                  <c:v>16.310542337192871</c:v>
                </c:pt>
                <c:pt idx="22">
                  <c:v>17.087234829440153</c:v>
                </c:pt>
                <c:pt idx="23">
                  <c:v>17.863927321687431</c:v>
                </c:pt>
                <c:pt idx="24">
                  <c:v>18.640619813934713</c:v>
                </c:pt>
                <c:pt idx="25">
                  <c:v>19.417312306181991</c:v>
                </c:pt>
                <c:pt idx="26">
                  <c:v>20.194004798429273</c:v>
                </c:pt>
                <c:pt idx="27">
                  <c:v>20.194004798429273</c:v>
                </c:pt>
                <c:pt idx="28">
                  <c:v>20.221720626071683</c:v>
                </c:pt>
                <c:pt idx="29">
                  <c:v>20.249436453714093</c:v>
                </c:pt>
                <c:pt idx="30">
                  <c:v>20.277152281356503</c:v>
                </c:pt>
                <c:pt idx="31">
                  <c:v>20.304868108998914</c:v>
                </c:pt>
                <c:pt idx="32">
                  <c:v>20.332583936641324</c:v>
                </c:pt>
                <c:pt idx="33">
                  <c:v>20.360299764283738</c:v>
                </c:pt>
                <c:pt idx="34">
                  <c:v>20.388015591926148</c:v>
                </c:pt>
                <c:pt idx="35">
                  <c:v>20.415731419568559</c:v>
                </c:pt>
                <c:pt idx="36">
                  <c:v>20.443447247210969</c:v>
                </c:pt>
                <c:pt idx="37">
                  <c:v>20.471163074853379</c:v>
                </c:pt>
                <c:pt idx="38">
                  <c:v>20.498878902495793</c:v>
                </c:pt>
                <c:pt idx="39">
                  <c:v>20.526594730138203</c:v>
                </c:pt>
                <c:pt idx="40">
                  <c:v>20.554310557780614</c:v>
                </c:pt>
                <c:pt idx="41">
                  <c:v>20.582026385423024</c:v>
                </c:pt>
                <c:pt idx="42">
                  <c:v>20.609742213065434</c:v>
                </c:pt>
                <c:pt idx="43">
                  <c:v>20.637458040707845</c:v>
                </c:pt>
                <c:pt idx="44">
                  <c:v>20.665173868350259</c:v>
                </c:pt>
                <c:pt idx="45">
                  <c:v>20.692889695992669</c:v>
                </c:pt>
                <c:pt idx="46">
                  <c:v>20.720605523635079</c:v>
                </c:pt>
                <c:pt idx="47">
                  <c:v>20.74832135127749</c:v>
                </c:pt>
                <c:pt idx="48">
                  <c:v>20.7760371789199</c:v>
                </c:pt>
                <c:pt idx="49">
                  <c:v>20.80375300656231</c:v>
                </c:pt>
                <c:pt idx="50">
                  <c:v>20.831468834204721</c:v>
                </c:pt>
                <c:pt idx="51">
                  <c:v>20.859184661847131</c:v>
                </c:pt>
                <c:pt idx="52">
                  <c:v>20.886900489489541</c:v>
                </c:pt>
                <c:pt idx="53">
                  <c:v>20.914616317131951</c:v>
                </c:pt>
                <c:pt idx="54">
                  <c:v>20.942332144774369</c:v>
                </c:pt>
                <c:pt idx="55">
                  <c:v>20.970047972416779</c:v>
                </c:pt>
                <c:pt idx="56">
                  <c:v>20.99776380005919</c:v>
                </c:pt>
                <c:pt idx="57">
                  <c:v>21.0254796277016</c:v>
                </c:pt>
                <c:pt idx="58">
                  <c:v>21.05319545534401</c:v>
                </c:pt>
                <c:pt idx="59">
                  <c:v>21.08091128298642</c:v>
                </c:pt>
                <c:pt idx="60">
                  <c:v>21.108627110628831</c:v>
                </c:pt>
                <c:pt idx="61">
                  <c:v>21.136342938271241</c:v>
                </c:pt>
                <c:pt idx="62">
                  <c:v>21.164058765913651</c:v>
                </c:pt>
                <c:pt idx="63">
                  <c:v>21.191774593556062</c:v>
                </c:pt>
                <c:pt idx="64">
                  <c:v>21.219490421198472</c:v>
                </c:pt>
                <c:pt idx="65">
                  <c:v>21.247206248840886</c:v>
                </c:pt>
                <c:pt idx="66">
                  <c:v>21.274922076483296</c:v>
                </c:pt>
                <c:pt idx="67">
                  <c:v>21.302637904125707</c:v>
                </c:pt>
                <c:pt idx="68">
                  <c:v>21.330353731768117</c:v>
                </c:pt>
                <c:pt idx="69">
                  <c:v>21.358069559410527</c:v>
                </c:pt>
                <c:pt idx="70">
                  <c:v>21.385785387052938</c:v>
                </c:pt>
                <c:pt idx="71">
                  <c:v>21.413501214695351</c:v>
                </c:pt>
                <c:pt idx="72">
                  <c:v>21.441217042337765</c:v>
                </c:pt>
                <c:pt idx="73">
                  <c:v>21.468932869980176</c:v>
                </c:pt>
                <c:pt idx="74">
                  <c:v>21.496648697622586</c:v>
                </c:pt>
                <c:pt idx="75">
                  <c:v>21.524364525264996</c:v>
                </c:pt>
                <c:pt idx="76">
                  <c:v>21.552080352907407</c:v>
                </c:pt>
                <c:pt idx="77">
                  <c:v>21.579796180549817</c:v>
                </c:pt>
                <c:pt idx="78">
                  <c:v>21.607512008192227</c:v>
                </c:pt>
                <c:pt idx="79">
                  <c:v>21.635227835834637</c:v>
                </c:pt>
                <c:pt idx="80">
                  <c:v>21.662943663477048</c:v>
                </c:pt>
                <c:pt idx="81">
                  <c:v>21.690659491119462</c:v>
                </c:pt>
                <c:pt idx="82">
                  <c:v>21.718375318761872</c:v>
                </c:pt>
                <c:pt idx="83">
                  <c:v>21.746091146404282</c:v>
                </c:pt>
                <c:pt idx="84">
                  <c:v>21.773806974046693</c:v>
                </c:pt>
                <c:pt idx="85">
                  <c:v>21.801522801689103</c:v>
                </c:pt>
                <c:pt idx="86">
                  <c:v>21.829238629331513</c:v>
                </c:pt>
                <c:pt idx="87">
                  <c:v>21.856954456973924</c:v>
                </c:pt>
                <c:pt idx="88">
                  <c:v>21.884670284616341</c:v>
                </c:pt>
                <c:pt idx="89">
                  <c:v>21.912386112258751</c:v>
                </c:pt>
                <c:pt idx="90">
                  <c:v>21.940101939901162</c:v>
                </c:pt>
                <c:pt idx="91">
                  <c:v>21.967817767543572</c:v>
                </c:pt>
                <c:pt idx="92">
                  <c:v>21.995533595185982</c:v>
                </c:pt>
                <c:pt idx="93">
                  <c:v>22.023249422828393</c:v>
                </c:pt>
                <c:pt idx="94">
                  <c:v>22.050965250470803</c:v>
                </c:pt>
                <c:pt idx="95">
                  <c:v>22.078681078113213</c:v>
                </c:pt>
                <c:pt idx="96">
                  <c:v>22.106396905755624</c:v>
                </c:pt>
                <c:pt idx="97">
                  <c:v>22.134112733398037</c:v>
                </c:pt>
                <c:pt idx="98">
                  <c:v>22.161828561040448</c:v>
                </c:pt>
                <c:pt idx="99">
                  <c:v>22.189544388682858</c:v>
                </c:pt>
                <c:pt idx="100">
                  <c:v>22.217260216325268</c:v>
                </c:pt>
                <c:pt idx="101">
                  <c:v>22.244976043967679</c:v>
                </c:pt>
                <c:pt idx="102">
                  <c:v>22.272691871610089</c:v>
                </c:pt>
                <c:pt idx="115">
                  <c:v>20.360299764283738</c:v>
                </c:pt>
              </c:numCache>
            </c:numRef>
          </c:xVal>
          <c:yVal>
            <c:numRef>
              <c:f>Sim48k!$S$35:$S$197</c:f>
              <c:numCache>
                <c:formatCode>General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0.0">
                  <c:v>0</c:v>
                </c:pt>
                <c:pt idx="28" formatCode="0.0">
                  <c:v>43.473573167685579</c:v>
                </c:pt>
                <c:pt idx="29" formatCode="0.0">
                  <c:v>86.262414511928569</c:v>
                </c:pt>
                <c:pt idx="30" formatCode="0.0">
                  <c:v>127.6939380429171</c:v>
                </c:pt>
                <c:pt idx="31" formatCode="0.0">
                  <c:v>167.11840060437987</c:v>
                </c:pt>
                <c:pt idx="32" formatCode="0.0">
                  <c:v>203.91908798489021</c:v>
                </c:pt>
                <c:pt idx="33" formatCode="0.0">
                  <c:v>237.5219585918453</c:v>
                </c:pt>
                <c:pt idx="34" formatCode="0.0">
                  <c:v>267.40459394457116</c:v>
                </c:pt>
                <c:pt idx="35" formatCode="0.0">
                  <c:v>293.10431649031369</c:v>
                </c:pt>
                <c:pt idx="36" formatCode="0.0">
                  <c:v>314.22534866731388</c:v>
                </c:pt>
                <c:pt idx="37" formatCode="0.0">
                  <c:v>330.44490251659829</c:v>
                </c:pt>
                <c:pt idx="38" formatCode="0.0">
                  <c:v>341.51810623203534</c:v>
                </c:pt>
                <c:pt idx="39" formatCode="0.0">
                  <c:v>347.28169256372792</c:v>
                </c:pt>
                <c:pt idx="40" formatCode="0.0">
                  <c:v>347.65639365794198</c:v>
                </c:pt>
                <c:pt idx="41" formatCode="0.0">
                  <c:v>342.64800741521293</c:v>
                </c:pt>
                <c:pt idx="42" formatCode="0.0">
                  <c:v>332.34712145228679</c:v>
                </c:pt>
                <c:pt idx="43" formatCode="0.0">
                  <c:v>316.92750193116171</c:v>
                </c:pt>
                <c:pt idx="44" formatCode="0.0">
                  <c:v>296.64317553570282</c:v>
                </c:pt>
                <c:pt idx="45" formatCode="0.0">
                  <c:v>271.82425340235716</c:v>
                </c:pt>
                <c:pt idx="46" formatCode="0.0">
                  <c:v>242.87156552411307</c:v>
                </c:pt>
                <c:pt idx="47" formatCode="0.0">
                  <c:v>210.25019273724854</c:v>
                </c:pt>
                <c:pt idx="48" formatCode="0.0">
                  <c:v>174.48200057816987</c:v>
                </c:pt>
                <c:pt idx="49" formatCode="0.0">
                  <c:v>136.13729479521666</c:v>
                </c:pt>
                <c:pt idx="50" formatCode="0.0">
                  <c:v>95.825731877204376</c:v>
                </c:pt>
                <c:pt idx="51" formatCode="0.0">
                  <c:v>54.186629406984281</c:v>
                </c:pt>
                <c:pt idx="52" formatCode="0.0">
                  <c:v>11.878830188717869</c:v>
                </c:pt>
                <c:pt idx="53" formatCode="0.0">
                  <c:v>-30.429719207087214</c:v>
                </c:pt>
                <c:pt idx="54" formatCode="0.0">
                  <c:v>-72.072510686622664</c:v>
                </c:pt>
                <c:pt idx="55" formatCode="0.0">
                  <c:v>-112.39497132473497</c:v>
                </c:pt>
                <c:pt idx="56" formatCode="0.0">
                  <c:v>-150.76474924537189</c:v>
                </c:pt>
                <c:pt idx="57" formatCode="0.0">
                  <c:v>-186.58162710993764</c:v>
                </c:pt>
                <c:pt idx="58" formatCode="0.0">
                  <c:v>-219.28690785028414</c:v>
                </c:pt>
                <c:pt idx="59" formatCode="0.0">
                  <c:v>-248.37212593437306</c:v>
                </c:pt>
                <c:pt idx="60" formatCode="0.0">
                  <c:v>-273.38694839639993</c:v>
                </c:pt>
                <c:pt idx="61" formatCode="0.0">
                  <c:v>-293.94614292198236</c:v>
                </c:pt>
                <c:pt idx="62" formatCode="0.0">
                  <c:v>-309.73550524256831</c:v>
                </c:pt>
                <c:pt idx="63" formatCode="0.0">
                  <c:v>-320.51665472166178</c:v>
                </c:pt>
                <c:pt idx="64" formatCode="0.0">
                  <c:v>-326.13062504320123</c:v>
                </c:pt>
                <c:pt idx="65" formatCode="0.0">
                  <c:v>-326.50019605245774</c:v>
                </c:pt>
                <c:pt idx="66" formatCode="0.0">
                  <c:v>-321.63093274816509</c:v>
                </c:pt>
                <c:pt idx="67" formatCode="0.0">
                  <c:v>-311.61091786528027</c:v>
                </c:pt>
                <c:pt idx="68" formatCode="0.0">
                  <c:v>-296.60918509769459</c:v>
                </c:pt>
                <c:pt idx="69" formatCode="0.0">
                  <c:v>-276.8728804643423</c:v>
                </c:pt>
                <c:pt idx="70" formatCode="0.0">
                  <c:v>-252.72319929858628</c:v>
                </c:pt>
                <c:pt idx="71" formatCode="0.0">
                  <c:v>-224.5501655258561</c:v>
                </c:pt>
                <c:pt idx="72" formatCode="0.0">
                  <c:v>-192.80633798773803</c:v>
                </c:pt>
                <c:pt idx="73" formatCode="0.0">
                  <c:v>-157.99954528942942</c:v>
                </c:pt>
                <c:pt idx="74" formatCode="0.0">
                  <c:v>-120.68476573125885</c:v>
                </c:pt>
                <c:pt idx="75" formatCode="0.0">
                  <c:v>-81.455282099788135</c:v>
                </c:pt>
                <c:pt idx="76" formatCode="0.0">
                  <c:v>-40.933252235702625</c:v>
                </c:pt>
                <c:pt idx="77" formatCode="0.0">
                  <c:v>0.24015480672250322</c:v>
                </c:pt>
                <c:pt idx="78" formatCode="0.0">
                  <c:v>41.414900675645441</c:v>
                </c:pt>
                <c:pt idx="79" formatCode="0.0">
                  <c:v>81.942337339022117</c:v>
                </c:pt>
                <c:pt idx="80" formatCode="0.0">
                  <c:v>121.18542252317543</c:v>
                </c:pt>
                <c:pt idx="81" formatCode="0.0">
                  <c:v>158.52873013988807</c:v>
                </c:pt>
                <c:pt idx="82" formatCode="0.0">
                  <c:v>193.38809844819207</c:v>
                </c:pt>
                <c:pt idx="83" formatCode="0.0">
                  <c:v>225.21976474540344</c:v>
                </c:pt>
                <c:pt idx="84" formatCode="0.0">
                  <c:v>253.52884379920812</c:v>
                </c:pt>
                <c:pt idx="85" formatCode="0.0">
                  <c:v>277.87701788098724</c:v>
                </c:pt>
                <c:pt idx="86" formatCode="0.0">
                  <c:v>297.88931896750523</c:v>
                </c:pt>
                <c:pt idx="87" formatCode="0.0">
                  <c:v>313.25989823889887</c:v>
                </c:pt>
                <c:pt idx="88" formatCode="0.0">
                  <c:v>323.756694182209</c:v>
                </c:pt>
                <c:pt idx="89" formatCode="0.0">
                  <c:v>329.22492815305634</c:v>
                </c:pt>
                <c:pt idx="90" formatCode="0.0">
                  <c:v>329.58937487414295</c:v>
                </c:pt>
                <c:pt idx="91" formatCode="0.0">
                  <c:v>324.85537476229621</c:v>
                </c:pt>
                <c:pt idx="92" formatCode="0.0">
                  <c:v>315.10857486822692</c:v>
                </c:pt>
                <c:pt idx="93" formatCode="0.0">
                  <c:v>300.51340527062655</c:v>
                </c:pt>
                <c:pt idx="94" formatCode="0.0">
                  <c:v>281.31031767236118</c:v>
                </c:pt>
                <c:pt idx="95" formatCode="0.0">
                  <c:v>257.81183238804675</c:v>
                </c:pt>
                <c:pt idx="96" formatCode="0.0">
                  <c:v>230.39745858398379</c:v>
                </c:pt>
                <c:pt idx="97" formatCode="0.0">
                  <c:v>199.50757024076768</c:v>
                </c:pt>
                <c:pt idx="98" formatCode="0.0">
                  <c:v>165.63633658083319</c:v>
                </c:pt>
                <c:pt idx="99" formatCode="0.0">
                  <c:v>129.32382038424473</c:v>
                </c:pt>
                <c:pt idx="100" formatCode="0.0">
                  <c:v>91.14737047841237</c:v>
                </c:pt>
                <c:pt idx="101" formatCode="0.0">
                  <c:v>51.712445532444654</c:v>
                </c:pt>
                <c:pt idx="102" formatCode="0.0">
                  <c:v>11.643014947994523</c:v>
                </c:pt>
                <c:pt idx="104" formatCode="0.0">
                  <c:v>0</c:v>
                </c:pt>
                <c:pt idx="115" formatCode="0.0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29-40F9-B85A-C82FBAF2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39968"/>
        <c:axId val="179541888"/>
      </c:scatterChart>
      <c:scatterChart>
        <c:scatterStyle val="lineMarker"/>
        <c:varyColors val="0"/>
        <c:ser>
          <c:idx val="0"/>
          <c:order val="0"/>
          <c:tx>
            <c:strRef>
              <c:f>Sim48k!$Q$33:$Q$34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Sim48k!$P$35:$P$197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0.77669249224727932</c:v>
                </c:pt>
                <c:pt idx="2">
                  <c:v>1.5533849844945586</c:v>
                </c:pt>
                <c:pt idx="3">
                  <c:v>2.3300774767418382</c:v>
                </c:pt>
                <c:pt idx="4">
                  <c:v>3.1067699689891173</c:v>
                </c:pt>
                <c:pt idx="5">
                  <c:v>3.8834624612363964</c:v>
                </c:pt>
                <c:pt idx="6">
                  <c:v>4.6601549534836764</c:v>
                </c:pt>
                <c:pt idx="7">
                  <c:v>5.4368474457309555</c:v>
                </c:pt>
                <c:pt idx="8">
                  <c:v>6.2135399379782346</c:v>
                </c:pt>
                <c:pt idx="9">
                  <c:v>6.9902324302255137</c:v>
                </c:pt>
                <c:pt idx="10">
                  <c:v>7.7669249224727928</c:v>
                </c:pt>
                <c:pt idx="11">
                  <c:v>8.5436174147200727</c:v>
                </c:pt>
                <c:pt idx="12">
                  <c:v>9.3203099069673527</c:v>
                </c:pt>
                <c:pt idx="13">
                  <c:v>10.097002399214633</c:v>
                </c:pt>
                <c:pt idx="14">
                  <c:v>10.873694891461913</c:v>
                </c:pt>
                <c:pt idx="15">
                  <c:v>11.650387383709193</c:v>
                </c:pt>
                <c:pt idx="16">
                  <c:v>12.427079875956473</c:v>
                </c:pt>
                <c:pt idx="17">
                  <c:v>13.203772368203753</c:v>
                </c:pt>
                <c:pt idx="18">
                  <c:v>13.980464860451033</c:v>
                </c:pt>
                <c:pt idx="19">
                  <c:v>14.757157352698313</c:v>
                </c:pt>
                <c:pt idx="20">
                  <c:v>15.533849844945593</c:v>
                </c:pt>
                <c:pt idx="21">
                  <c:v>16.310542337192871</c:v>
                </c:pt>
                <c:pt idx="22">
                  <c:v>17.087234829440153</c:v>
                </c:pt>
                <c:pt idx="23">
                  <c:v>17.863927321687431</c:v>
                </c:pt>
                <c:pt idx="24">
                  <c:v>18.640619813934713</c:v>
                </c:pt>
                <c:pt idx="25">
                  <c:v>19.417312306181991</c:v>
                </c:pt>
                <c:pt idx="26">
                  <c:v>20.194004798429273</c:v>
                </c:pt>
                <c:pt idx="27">
                  <c:v>20.194004798429273</c:v>
                </c:pt>
                <c:pt idx="28">
                  <c:v>20.221720626071683</c:v>
                </c:pt>
                <c:pt idx="29">
                  <c:v>20.249436453714093</c:v>
                </c:pt>
                <c:pt idx="30">
                  <c:v>20.277152281356503</c:v>
                </c:pt>
                <c:pt idx="31">
                  <c:v>20.304868108998914</c:v>
                </c:pt>
                <c:pt idx="32">
                  <c:v>20.332583936641324</c:v>
                </c:pt>
                <c:pt idx="33">
                  <c:v>20.360299764283738</c:v>
                </c:pt>
                <c:pt idx="34">
                  <c:v>20.388015591926148</c:v>
                </c:pt>
                <c:pt idx="35">
                  <c:v>20.415731419568559</c:v>
                </c:pt>
                <c:pt idx="36">
                  <c:v>20.443447247210969</c:v>
                </c:pt>
                <c:pt idx="37">
                  <c:v>20.471163074853379</c:v>
                </c:pt>
                <c:pt idx="38">
                  <c:v>20.498878902495793</c:v>
                </c:pt>
                <c:pt idx="39">
                  <c:v>20.526594730138203</c:v>
                </c:pt>
                <c:pt idx="40">
                  <c:v>20.554310557780614</c:v>
                </c:pt>
                <c:pt idx="41">
                  <c:v>20.582026385423024</c:v>
                </c:pt>
                <c:pt idx="42">
                  <c:v>20.609742213065434</c:v>
                </c:pt>
                <c:pt idx="43">
                  <c:v>20.637458040707845</c:v>
                </c:pt>
                <c:pt idx="44">
                  <c:v>20.665173868350259</c:v>
                </c:pt>
                <c:pt idx="45">
                  <c:v>20.692889695992669</c:v>
                </c:pt>
                <c:pt idx="46">
                  <c:v>20.720605523635079</c:v>
                </c:pt>
                <c:pt idx="47">
                  <c:v>20.74832135127749</c:v>
                </c:pt>
                <c:pt idx="48">
                  <c:v>20.7760371789199</c:v>
                </c:pt>
                <c:pt idx="49">
                  <c:v>20.80375300656231</c:v>
                </c:pt>
                <c:pt idx="50">
                  <c:v>20.831468834204721</c:v>
                </c:pt>
                <c:pt idx="51">
                  <c:v>20.859184661847131</c:v>
                </c:pt>
                <c:pt idx="52">
                  <c:v>20.886900489489541</c:v>
                </c:pt>
                <c:pt idx="53">
                  <c:v>20.914616317131951</c:v>
                </c:pt>
                <c:pt idx="54">
                  <c:v>20.942332144774369</c:v>
                </c:pt>
                <c:pt idx="55">
                  <c:v>20.970047972416779</c:v>
                </c:pt>
                <c:pt idx="56">
                  <c:v>20.99776380005919</c:v>
                </c:pt>
                <c:pt idx="57">
                  <c:v>21.0254796277016</c:v>
                </c:pt>
                <c:pt idx="58">
                  <c:v>21.05319545534401</c:v>
                </c:pt>
                <c:pt idx="59">
                  <c:v>21.08091128298642</c:v>
                </c:pt>
                <c:pt idx="60">
                  <c:v>21.108627110628831</c:v>
                </c:pt>
                <c:pt idx="61">
                  <c:v>21.136342938271241</c:v>
                </c:pt>
                <c:pt idx="62">
                  <c:v>21.164058765913651</c:v>
                </c:pt>
                <c:pt idx="63">
                  <c:v>21.191774593556062</c:v>
                </c:pt>
                <c:pt idx="64">
                  <c:v>21.219490421198472</c:v>
                </c:pt>
                <c:pt idx="65">
                  <c:v>21.247206248840886</c:v>
                </c:pt>
                <c:pt idx="66">
                  <c:v>21.274922076483296</c:v>
                </c:pt>
                <c:pt idx="67">
                  <c:v>21.302637904125707</c:v>
                </c:pt>
                <c:pt idx="68">
                  <c:v>21.330353731768117</c:v>
                </c:pt>
                <c:pt idx="69">
                  <c:v>21.358069559410527</c:v>
                </c:pt>
                <c:pt idx="70">
                  <c:v>21.385785387052938</c:v>
                </c:pt>
                <c:pt idx="71">
                  <c:v>21.413501214695351</c:v>
                </c:pt>
                <c:pt idx="72">
                  <c:v>21.441217042337765</c:v>
                </c:pt>
                <c:pt idx="73">
                  <c:v>21.468932869980176</c:v>
                </c:pt>
                <c:pt idx="74">
                  <c:v>21.496648697622586</c:v>
                </c:pt>
                <c:pt idx="75">
                  <c:v>21.524364525264996</c:v>
                </c:pt>
                <c:pt idx="76">
                  <c:v>21.552080352907407</c:v>
                </c:pt>
                <c:pt idx="77">
                  <c:v>21.579796180549817</c:v>
                </c:pt>
                <c:pt idx="78">
                  <c:v>21.607512008192227</c:v>
                </c:pt>
                <c:pt idx="79">
                  <c:v>21.635227835834637</c:v>
                </c:pt>
                <c:pt idx="80">
                  <c:v>21.662943663477048</c:v>
                </c:pt>
                <c:pt idx="81">
                  <c:v>21.690659491119462</c:v>
                </c:pt>
                <c:pt idx="82">
                  <c:v>21.718375318761872</c:v>
                </c:pt>
                <c:pt idx="83">
                  <c:v>21.746091146404282</c:v>
                </c:pt>
                <c:pt idx="84">
                  <c:v>21.773806974046693</c:v>
                </c:pt>
                <c:pt idx="85">
                  <c:v>21.801522801689103</c:v>
                </c:pt>
                <c:pt idx="86">
                  <c:v>21.829238629331513</c:v>
                </c:pt>
                <c:pt idx="87">
                  <c:v>21.856954456973924</c:v>
                </c:pt>
                <c:pt idx="88">
                  <c:v>21.884670284616341</c:v>
                </c:pt>
                <c:pt idx="89">
                  <c:v>21.912386112258751</c:v>
                </c:pt>
                <c:pt idx="90">
                  <c:v>21.940101939901162</c:v>
                </c:pt>
                <c:pt idx="91">
                  <c:v>21.967817767543572</c:v>
                </c:pt>
                <c:pt idx="92">
                  <c:v>21.995533595185982</c:v>
                </c:pt>
                <c:pt idx="93">
                  <c:v>22.023249422828393</c:v>
                </c:pt>
                <c:pt idx="94">
                  <c:v>22.050965250470803</c:v>
                </c:pt>
                <c:pt idx="95">
                  <c:v>22.078681078113213</c:v>
                </c:pt>
                <c:pt idx="96">
                  <c:v>22.106396905755624</c:v>
                </c:pt>
                <c:pt idx="97">
                  <c:v>22.134112733398037</c:v>
                </c:pt>
                <c:pt idx="98">
                  <c:v>22.161828561040448</c:v>
                </c:pt>
                <c:pt idx="99">
                  <c:v>22.189544388682858</c:v>
                </c:pt>
                <c:pt idx="100">
                  <c:v>22.217260216325268</c:v>
                </c:pt>
                <c:pt idx="101">
                  <c:v>22.244976043967679</c:v>
                </c:pt>
                <c:pt idx="102">
                  <c:v>22.272691871610089</c:v>
                </c:pt>
                <c:pt idx="115">
                  <c:v>20.360299764283738</c:v>
                </c:pt>
              </c:numCache>
            </c:numRef>
          </c:xVal>
          <c:yVal>
            <c:numRef>
              <c:f>Sim48k!$Q$35:$Q$197</c:f>
              <c:numCache>
                <c:formatCode>General</c:formatCode>
                <c:ptCount val="163"/>
                <c:pt idx="0">
                  <c:v>0</c:v>
                </c:pt>
                <c:pt idx="1">
                  <c:v>0.13011654925776162</c:v>
                </c:pt>
                <c:pt idx="2">
                  <c:v>0.25254391315471103</c:v>
                </c:pt>
                <c:pt idx="3">
                  <c:v>0.36773648101987833</c:v>
                </c:pt>
                <c:pt idx="4">
                  <c:v>0.47612179022689788</c:v>
                </c:pt>
                <c:pt idx="5">
                  <c:v>0.57810211299955705</c:v>
                </c:pt>
                <c:pt idx="6">
                  <c:v>0.67405594944570768</c:v>
                </c:pt>
                <c:pt idx="7">
                  <c:v>0.76433943236093305</c:v>
                </c:pt>
                <c:pt idx="8">
                  <c:v>0.84928764901591014</c:v>
                </c:pt>
                <c:pt idx="9">
                  <c:v>0.92921588483327233</c:v>
                </c:pt>
                <c:pt idx="10">
                  <c:v>1.0044207935698883</c:v>
                </c:pt>
                <c:pt idx="11">
                  <c:v>1.0751814983476886</c:v>
                </c:pt>
                <c:pt idx="12">
                  <c:v>1.141760627619514</c:v>
                </c:pt>
                <c:pt idx="13">
                  <c:v>1.2044052899149802</c:v>
                </c:pt>
                <c:pt idx="14">
                  <c:v>1.2633479909841219</c:v>
                </c:pt>
                <c:pt idx="15">
                  <c:v>1.3188074967428061</c:v>
                </c:pt>
                <c:pt idx="16">
                  <c:v>1.3709896452227264</c:v>
                </c:pt>
                <c:pt idx="17">
                  <c:v>1.4200881105395413</c:v>
                </c:pt>
                <c:pt idx="18">
                  <c:v>1.4662851217146196</c:v>
                </c:pt>
                <c:pt idx="19">
                  <c:v>1.5097521390183037</c:v>
                </c:pt>
                <c:pt idx="20">
                  <c:v>1.5506504903449367</c:v>
                </c:pt>
                <c:pt idx="21">
                  <c:v>1.589131969981566</c:v>
                </c:pt>
                <c:pt idx="22">
                  <c:v>1.625339401992645</c:v>
                </c:pt>
                <c:pt idx="23">
                  <c:v>1.659407170311747</c:v>
                </c:pt>
                <c:pt idx="24">
                  <c:v>1.6914617175077171</c:v>
                </c:pt>
                <c:pt idx="25">
                  <c:v>1.72162201407644</c:v>
                </c:pt>
                <c:pt idx="26">
                  <c:v>1.7500000000000002</c:v>
                </c:pt>
                <c:pt idx="27" formatCode="0.0">
                  <c:v>1.7500000000000002</c:v>
                </c:pt>
                <c:pt idx="28" formatCode="0.0">
                  <c:v>1.7366999559288314</c:v>
                </c:pt>
                <c:pt idx="29" formatCode="0.0">
                  <c:v>1.6960697391803325</c:v>
                </c:pt>
                <c:pt idx="30" formatCode="0.0">
                  <c:v>1.6288087579324584</c:v>
                </c:pt>
                <c:pt idx="31" formatCode="0.0">
                  <c:v>1.5360344287072618</c:v>
                </c:pt>
                <c:pt idx="32" formatCode="0.0">
                  <c:v>1.4192636655728157</c:v>
                </c:pt>
                <c:pt idx="33" formatCode="0.0">
                  <c:v>1.2803881160645212</c:v>
                </c:pt>
                <c:pt idx="34" formatCode="0.0">
                  <c:v>1.1216435475235507</c:v>
                </c:pt>
                <c:pt idx="35" formatCode="0.0">
                  <c:v>0.94557387882487398</c:v>
                </c:pt>
                <c:pt idx="36" formatCode="0.0">
                  <c:v>0.75499043574627966</c:v>
                </c:pt>
                <c:pt idx="37" formatCode="0.0">
                  <c:v>0.55292708221850251</c:v>
                </c:pt>
                <c:pt idx="38" formatCode="0.0">
                  <c:v>0.34259194324954739</c:v>
                </c:pt>
                <c:pt idx="39" formatCode="0.0">
                  <c:v>0.12731648745508164</c:v>
                </c:pt>
                <c:pt idx="40" formatCode="0.0">
                  <c:v>-8.9497222945248922E-2</c:v>
                </c:pt>
                <c:pt idx="41" formatCode="0.0">
                  <c:v>-0.30443027969105624</c:v>
                </c:pt>
                <c:pt idx="42" formatCode="0.0">
                  <c:v>-0.51410082472738738</c:v>
                </c:pt>
                <c:pt idx="43" formatCode="0.0">
                  <c:v>-0.71521724575811785</c:v>
                </c:pt>
                <c:pt idx="44" formatCode="0.0">
                  <c:v>-0.90462983461340252</c:v>
                </c:pt>
                <c:pt idx="45" formatCode="0.0">
                  <c:v>-1.0793800979702826</c:v>
                </c:pt>
                <c:pt idx="46" formatCode="0.0">
                  <c:v>-1.2367469487088858</c:v>
                </c:pt>
                <c:pt idx="47" formatCode="0.0">
                  <c:v>-1.3742890570030515</c:v>
                </c:pt>
                <c:pt idx="48" formatCode="0.0">
                  <c:v>-1.4898827023070251</c:v>
                </c:pt>
                <c:pt idx="49" formatCode="0.0">
                  <c:v>-1.5817545397068564</c:v>
                </c:pt>
                <c:pt idx="50" formatCode="0.0">
                  <c:v>-1.6485087754950813</c:v>
                </c:pt>
                <c:pt idx="51" formatCode="0.0">
                  <c:v>-1.6891483359981789</c:v>
                </c:pt>
                <c:pt idx="52" formatCode="0.0">
                  <c:v>-1.7030897092166195</c:v>
                </c:pt>
                <c:pt idx="53" formatCode="0.0">
                  <c:v>-1.6901712392082102</c:v>
                </c:pt>
                <c:pt idx="54" formatCode="0.0">
                  <c:v>-1.6506547567653165</c:v>
                </c:pt>
                <c:pt idx="55" formatCode="0.0">
                  <c:v>-1.5852205351658515</c:v>
                </c:pt>
                <c:pt idx="56" formatCode="0.0">
                  <c:v>-1.494955664955556</c:v>
                </c:pt>
                <c:pt idx="57" formatCode="0.0">
                  <c:v>-1.3813360451881644</c:v>
                </c:pt>
                <c:pt idx="58" formatCode="0.0">
                  <c:v>-1.2462022886843389</c:v>
                </c:pt>
                <c:pt idx="59" formatCode="0.0">
                  <c:v>-1.0917299340994651</c:v>
                </c:pt>
                <c:pt idx="60" formatCode="0.0">
                  <c:v>-0.92039444642510371</c:v>
                </c:pt>
                <c:pt idx="61" formatCode="0.0">
                  <c:v>-0.73493156860336195</c:v>
                </c:pt>
                <c:pt idx="62" formatCode="0.0">
                  <c:v>-0.53829365894786729</c:v>
                </c:pt>
                <c:pt idx="63" formatCode="0.0">
                  <c:v>-0.33360271092435739</c:v>
                </c:pt>
                <c:pt idx="64" formatCode="0.0">
                  <c:v>-0.12410080259589579</c:v>
                </c:pt>
                <c:pt idx="65" formatCode="0.0">
                  <c:v>8.6901238093218161E-2</c:v>
                </c:pt>
                <c:pt idx="66" formatCode="0.0">
                  <c:v>0.29607613962103818</c:v>
                </c:pt>
                <c:pt idx="67" formatCode="0.0">
                  <c:v>0.50013263866367819</c:v>
                </c:pt>
                <c:pt idx="68" formatCode="0.0">
                  <c:v>0.69586725072980904</c:v>
                </c:pt>
                <c:pt idx="69" formatCode="0.0">
                  <c:v>0.88021454556574541</c:v>
                </c:pt>
                <c:pt idx="70" formatCode="0.0">
                  <c:v>1.0502951385655916</c:v>
                </c:pt>
                <c:pt idx="71" formatCode="0.0">
                  <c:v>1.2034606471143776</c:v>
                </c:pt>
                <c:pt idx="72" formatCode="0.0">
                  <c:v>1.3373349102357446</c:v>
                </c:pt>
                <c:pt idx="73" formatCode="0.0">
                  <c:v>1.4498508303050814</c:v>
                </c:pt>
                <c:pt idx="74" formatCode="0.0">
                  <c:v>1.5392822659489829</c:v>
                </c:pt>
                <c:pt idx="75" formatCode="0.0">
                  <c:v>1.6042704844524134</c:v>
                </c:pt>
                <c:pt idx="76" formatCode="0.0">
                  <c:v>1.6438447687691824</c:v>
                </c:pt>
                <c:pt idx="77" formatCode="0.0">
                  <c:v>1.6574368671957509</c:v>
                </c:pt>
                <c:pt idx="78" formatCode="0.0">
                  <c:v>1.644889071445135</c:v>
                </c:pt>
                <c:pt idx="79" formatCode="0.0">
                  <c:v>1.6064558096976911</c:v>
                </c:pt>
                <c:pt idx="80" formatCode="0.0">
                  <c:v>1.5427987436134667</c:v>
                </c:pt>
                <c:pt idx="81" formatCode="0.0">
                  <c:v>1.4549754606498599</c:v>
                </c:pt>
                <c:pt idx="82" formatCode="0.0">
                  <c:v>1.3444219537261641</c:v>
                </c:pt>
                <c:pt idx="83" formatCode="0.0">
                  <c:v>1.2129291777304501</c:v>
                </c:pt>
                <c:pt idx="84" formatCode="0.0">
                  <c:v>1.0626140650459348</c:v>
                </c:pt>
                <c:pt idx="85" formatCode="0.0">
                  <c:v>0.89588546873387842</c:v>
                </c:pt>
                <c:pt idx="86" formatCode="0.0">
                  <c:v>0.7154055808994757</c:v>
                </c:pt>
                <c:pt idx="87" formatCode="0.0">
                  <c:v>0.52404744385999302</c:v>
                </c:pt>
                <c:pt idx="88" formatCode="0.0">
                  <c:v>0.3248492319452741</c:v>
                </c:pt>
                <c:pt idx="89" formatCode="0.0">
                  <c:v>0.12096603116274519</c:v>
                </c:pt>
                <c:pt idx="90" formatCode="0.0">
                  <c:v>-8.4380118202660642E-2</c:v>
                </c:pt>
                <c:pt idx="91" formatCode="0.0">
                  <c:v>-0.28795112527961098</c:v>
                </c:pt>
                <c:pt idx="92" formatCode="0.0">
                  <c:v>-0.48654389462808256</c:v>
                </c:pt>
                <c:pt idx="93" formatCode="0.0">
                  <c:v>-0.67704071012274258</c:v>
                </c:pt>
                <c:pt idx="94" formatCode="0.0">
                  <c:v>-0.85645816441864608</c:v>
                </c:pt>
                <c:pt idx="95" formatCode="0.0">
                  <c:v>-1.0219938663483792</c:v>
                </c:pt>
                <c:pt idx="96" formatCode="0.0">
                  <c:v>-1.1710701952717026</c:v>
                </c:pt>
                <c:pt idx="97" formatCode="0.0">
                  <c:v>-1.3013744195068198</c:v>
                </c:pt>
                <c:pt idx="98" formatCode="0.0">
                  <c:v>-1.4108945547332647</c:v>
                </c:pt>
                <c:pt idx="99" formatCode="0.0">
                  <c:v>-1.4979504067218599</c:v>
                </c:pt>
                <c:pt idx="100" formatCode="0.0">
                  <c:v>-1.5612193198171731</c:v>
                </c:pt>
                <c:pt idx="101" formatCode="0.0">
                  <c:v>-1.5997562370397527</c:v>
                </c:pt>
                <c:pt idx="102" formatCode="0.0">
                  <c:v>-1.613007768142992</c:v>
                </c:pt>
                <c:pt idx="115" formatCode="0.000">
                  <c:v>1.2803881160645212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29-40F9-B85A-C82FBAF2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72736"/>
        <c:axId val="179574272"/>
      </c:scatterChart>
      <c:valAx>
        <c:axId val="179539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[msec]</a:t>
                </a:r>
              </a:p>
            </c:rich>
          </c:tx>
          <c:layout>
            <c:manualLayout>
              <c:xMode val="edge"/>
              <c:yMode val="edge"/>
              <c:x val="0.4726315789473684"/>
              <c:y val="0.88605108055009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541888"/>
        <c:crossesAt val="-100000"/>
        <c:crossBetween val="midCat"/>
      </c:valAx>
      <c:valAx>
        <c:axId val="17954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UL,Uc [V]</a:t>
                </a:r>
              </a:p>
            </c:rich>
          </c:tx>
          <c:layout>
            <c:manualLayout>
              <c:xMode val="edge"/>
              <c:yMode val="edge"/>
              <c:x val="3.7894736842105266E-2"/>
              <c:y val="0.442043222003929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539968"/>
        <c:crosses val="autoZero"/>
        <c:crossBetween val="midCat"/>
      </c:valAx>
      <c:valAx>
        <c:axId val="17957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574272"/>
        <c:crosses val="autoZero"/>
        <c:crossBetween val="midCat"/>
      </c:valAx>
      <c:valAx>
        <c:axId val="1795742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0.9357894736842105"/>
              <c:y val="0.47544204322200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572736"/>
        <c:crosses val="max"/>
        <c:crossBetween val="midCat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263157894736845"/>
          <c:y val="2.1611001964636542E-2"/>
          <c:w val="7.4736842105263157E-2"/>
          <c:h val="0.11394891944990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Primärstrom &amp; Sekundärspannung</a:t>
            </a:r>
          </a:p>
        </c:rich>
      </c:tx>
      <c:layout>
        <c:manualLayout>
          <c:xMode val="edge"/>
          <c:yMode val="edge"/>
          <c:x val="0.24385655778938536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670756910479"/>
          <c:y val="0.25906735751295334"/>
          <c:w val="0.72400822971577206"/>
          <c:h val="0.55181347150259064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Sim48k!$L$79:$L$80</c:f>
              <c:strCache>
                <c:ptCount val="2"/>
                <c:pt idx="0">
                  <c:v>Usec</c:v>
                </c:pt>
                <c:pt idx="1">
                  <c:v>[kV]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Sim48k!$H$81:$H$156</c:f>
              <c:numCache>
                <c:formatCode>General</c:formatCode>
                <c:ptCount val="76"/>
                <c:pt idx="0">
                  <c:v>0</c:v>
                </c:pt>
                <c:pt idx="1">
                  <c:v>2.7715827642410865E-5</c:v>
                </c:pt>
                <c:pt idx="2">
                  <c:v>5.543165528482173E-5</c:v>
                </c:pt>
                <c:pt idx="3">
                  <c:v>8.3147482927232595E-5</c:v>
                </c:pt>
                <c:pt idx="4">
                  <c:v>1.1086331056964346E-4</c:v>
                </c:pt>
                <c:pt idx="5">
                  <c:v>1.3857913821205433E-4</c:v>
                </c:pt>
                <c:pt idx="6">
                  <c:v>1.6629496585446519E-4</c:v>
                </c:pt>
                <c:pt idx="7">
                  <c:v>1.9401079349687606E-4</c:v>
                </c:pt>
                <c:pt idx="8">
                  <c:v>2.2172662113928692E-4</c:v>
                </c:pt>
                <c:pt idx="9">
                  <c:v>2.4944244878169779E-4</c:v>
                </c:pt>
                <c:pt idx="10">
                  <c:v>2.7715827642410865E-4</c:v>
                </c:pt>
                <c:pt idx="11">
                  <c:v>3.0487410406651952E-4</c:v>
                </c:pt>
                <c:pt idx="12">
                  <c:v>3.3258993170893038E-4</c:v>
                </c:pt>
                <c:pt idx="13">
                  <c:v>3.6030575935134125E-4</c:v>
                </c:pt>
                <c:pt idx="14">
                  <c:v>3.8802158699375211E-4</c:v>
                </c:pt>
                <c:pt idx="15">
                  <c:v>4.1573741463616298E-4</c:v>
                </c:pt>
                <c:pt idx="16">
                  <c:v>4.4345324227857384E-4</c:v>
                </c:pt>
                <c:pt idx="17">
                  <c:v>4.7116906992098471E-4</c:v>
                </c:pt>
                <c:pt idx="18">
                  <c:v>4.9888489756339557E-4</c:v>
                </c:pt>
                <c:pt idx="19">
                  <c:v>5.2660072520580644E-4</c:v>
                </c:pt>
                <c:pt idx="20">
                  <c:v>5.543165528482173E-4</c:v>
                </c:pt>
                <c:pt idx="21">
                  <c:v>5.8203238049062817E-4</c:v>
                </c:pt>
                <c:pt idx="22">
                  <c:v>6.0974820813303903E-4</c:v>
                </c:pt>
                <c:pt idx="23">
                  <c:v>6.374640357754499E-4</c:v>
                </c:pt>
                <c:pt idx="24">
                  <c:v>6.6517986341786076E-4</c:v>
                </c:pt>
                <c:pt idx="25">
                  <c:v>6.9289569106027163E-4</c:v>
                </c:pt>
                <c:pt idx="26">
                  <c:v>7.2061151870268249E-4</c:v>
                </c:pt>
                <c:pt idx="27">
                  <c:v>7.4832734634509336E-4</c:v>
                </c:pt>
                <c:pt idx="28">
                  <c:v>7.7604317398750422E-4</c:v>
                </c:pt>
                <c:pt idx="29">
                  <c:v>8.0375900162991509E-4</c:v>
                </c:pt>
                <c:pt idx="30">
                  <c:v>8.3147482927232595E-4</c:v>
                </c:pt>
                <c:pt idx="31">
                  <c:v>8.5919065691473682E-4</c:v>
                </c:pt>
                <c:pt idx="32">
                  <c:v>8.8690648455714768E-4</c:v>
                </c:pt>
                <c:pt idx="33">
                  <c:v>9.1462231219955855E-4</c:v>
                </c:pt>
                <c:pt idx="34">
                  <c:v>9.4233813984196941E-4</c:v>
                </c:pt>
                <c:pt idx="35">
                  <c:v>9.7005396748438028E-4</c:v>
                </c:pt>
                <c:pt idx="36">
                  <c:v>9.9776979512679114E-4</c:v>
                </c:pt>
                <c:pt idx="37">
                  <c:v>1.0254856227692021E-3</c:v>
                </c:pt>
                <c:pt idx="38">
                  <c:v>1.0532014504116131E-3</c:v>
                </c:pt>
                <c:pt idx="39">
                  <c:v>1.0809172780540241E-3</c:v>
                </c:pt>
                <c:pt idx="40">
                  <c:v>1.108633105696435E-3</c:v>
                </c:pt>
                <c:pt idx="41">
                  <c:v>1.136348933338846E-3</c:v>
                </c:pt>
                <c:pt idx="42">
                  <c:v>1.164064760981257E-3</c:v>
                </c:pt>
                <c:pt idx="43">
                  <c:v>1.191780588623668E-3</c:v>
                </c:pt>
                <c:pt idx="44">
                  <c:v>1.2194964162660789E-3</c:v>
                </c:pt>
                <c:pt idx="45">
                  <c:v>1.2472122439084899E-3</c:v>
                </c:pt>
                <c:pt idx="46">
                  <c:v>1.2749280715509009E-3</c:v>
                </c:pt>
                <c:pt idx="47">
                  <c:v>1.3026438991933119E-3</c:v>
                </c:pt>
                <c:pt idx="48">
                  <c:v>1.3303597268357228E-3</c:v>
                </c:pt>
                <c:pt idx="49">
                  <c:v>1.3580755544781338E-3</c:v>
                </c:pt>
                <c:pt idx="50">
                  <c:v>1.3857913821205448E-3</c:v>
                </c:pt>
                <c:pt idx="51">
                  <c:v>1.4135072097629557E-3</c:v>
                </c:pt>
                <c:pt idx="52">
                  <c:v>1.4412230374053667E-3</c:v>
                </c:pt>
                <c:pt idx="53">
                  <c:v>1.4689388650477777E-3</c:v>
                </c:pt>
                <c:pt idx="54">
                  <c:v>1.4966546926901887E-3</c:v>
                </c:pt>
                <c:pt idx="55">
                  <c:v>1.5243705203325996E-3</c:v>
                </c:pt>
                <c:pt idx="56">
                  <c:v>1.5520863479750106E-3</c:v>
                </c:pt>
                <c:pt idx="57">
                  <c:v>1.5798021756174216E-3</c:v>
                </c:pt>
                <c:pt idx="58">
                  <c:v>1.6075180032598326E-3</c:v>
                </c:pt>
                <c:pt idx="59">
                  <c:v>1.6352338309022435E-3</c:v>
                </c:pt>
                <c:pt idx="60">
                  <c:v>1.6629496585446545E-3</c:v>
                </c:pt>
                <c:pt idx="61">
                  <c:v>1.6906654861870655E-3</c:v>
                </c:pt>
                <c:pt idx="62">
                  <c:v>1.7183813138294765E-3</c:v>
                </c:pt>
                <c:pt idx="63">
                  <c:v>1.7460971414718874E-3</c:v>
                </c:pt>
                <c:pt idx="64">
                  <c:v>1.7738129691142984E-3</c:v>
                </c:pt>
                <c:pt idx="65">
                  <c:v>1.8015287967567094E-3</c:v>
                </c:pt>
                <c:pt idx="66">
                  <c:v>1.8292446243991204E-3</c:v>
                </c:pt>
                <c:pt idx="67">
                  <c:v>1.8569604520415313E-3</c:v>
                </c:pt>
                <c:pt idx="68">
                  <c:v>1.8846762796839423E-3</c:v>
                </c:pt>
                <c:pt idx="69">
                  <c:v>1.9123921073263533E-3</c:v>
                </c:pt>
                <c:pt idx="70">
                  <c:v>1.9401079349687642E-3</c:v>
                </c:pt>
                <c:pt idx="71">
                  <c:v>1.9678237626111752E-3</c:v>
                </c:pt>
                <c:pt idx="72">
                  <c:v>1.9955395902535862E-3</c:v>
                </c:pt>
                <c:pt idx="73">
                  <c:v>2.0232554178959972E-3</c:v>
                </c:pt>
                <c:pt idx="74">
                  <c:v>2.0509712455384081E-3</c:v>
                </c:pt>
                <c:pt idx="75">
                  <c:v>2.0786870731808191E-3</c:v>
                </c:pt>
              </c:numCache>
            </c:numRef>
          </c:xVal>
          <c:yVal>
            <c:numRef>
              <c:f>Sim48k!$L$81:$L$156</c:f>
              <c:numCache>
                <c:formatCode>General</c:formatCode>
                <c:ptCount val="76"/>
                <c:pt idx="0">
                  <c:v>-0.1186063124991428</c:v>
                </c:pt>
                <c:pt idx="1">
                  <c:v>4.0657117391503537</c:v>
                </c:pt>
                <c:pt idx="2">
                  <c:v>8.1768954244174417</c:v>
                </c:pt>
                <c:pt idx="3">
                  <c:v>12.150338129025704</c:v>
                </c:pt>
                <c:pt idx="4">
                  <c:v>15.923743415730501</c:v>
                </c:pt>
                <c:pt idx="5">
                  <c:v>19.438101393350284</c:v>
                </c:pt>
                <c:pt idx="6">
                  <c:v>22.638611191328934</c:v>
                </c:pt>
                <c:pt idx="7">
                  <c:v>25.475535124673357</c:v>
                </c:pt>
                <c:pt idx="8">
                  <c:v>27.904971241523501</c:v>
                </c:pt>
                <c:pt idx="9">
                  <c:v>29.889532260263284</c:v>
                </c:pt>
                <c:pt idx="10">
                  <c:v>31.398920403811228</c:v>
                </c:pt>
                <c:pt idx="11">
                  <c:v>32.410389301491179</c:v>
                </c:pt>
                <c:pt idx="12">
                  <c:v>32.909085927133567</c:v>
                </c:pt>
                <c:pt idx="13">
                  <c:v>32.888267447169291</c:v>
                </c:pt>
                <c:pt idx="14">
                  <c:v>32.349389834211117</c:v>
                </c:pt>
                <c:pt idx="15">
                  <c:v>31.302067128583214</c:v>
                </c:pt>
                <c:pt idx="16">
                  <c:v>29.763902270429885</c:v>
                </c:pt>
                <c:pt idx="17">
                  <c:v>27.760192446240168</c:v>
                </c:pt>
                <c:pt idx="18">
                  <c:v>25.323513864066413</c:v>
                </c:pt>
                <c:pt idx="19">
                  <c:v>22.493192760461334</c:v>
                </c:pt>
                <c:pt idx="20">
                  <c:v>19.314671219631968</c:v>
                </c:pt>
                <c:pt idx="21">
                  <c:v>15.838778023750807</c:v>
                </c:pt>
                <c:pt idx="22">
                  <c:v>12.120916227265301</c:v>
                </c:pt>
                <c:pt idx="23">
                  <c:v>8.2201804345444138</c:v>
                </c:pt>
                <c:pt idx="24">
                  <c:v>4.1984178394356988</c:v>
                </c:pt>
                <c:pt idx="25">
                  <c:v>0.1192479407262774</c:v>
                </c:pt>
                <c:pt idx="26">
                  <c:v>-3.952943533883265</c:v>
                </c:pt>
                <c:pt idx="27">
                  <c:v>-7.9540205901029966</c:v>
                </c:pt>
                <c:pt idx="28">
                  <c:v>-11.821106789278129</c:v>
                </c:pt>
                <c:pt idx="29">
                  <c:v>-15.493573035641491</c:v>
                </c:pt>
                <c:pt idx="30">
                  <c:v>-18.91398781536083</c:v>
                </c:pt>
                <c:pt idx="31">
                  <c:v>-22.029014999346405</c:v>
                </c:pt>
                <c:pt idx="32">
                  <c:v>-24.790245180162351</c:v>
                </c:pt>
                <c:pt idx="33">
                  <c:v>-27.154947590916411</c:v>
                </c:pt>
                <c:pt idx="34">
                  <c:v>-29.086730933234623</c:v>
                </c:pt>
                <c:pt idx="35">
                  <c:v>-30.556102901770437</c:v>
                </c:pt>
                <c:pt idx="36">
                  <c:v>-31.540919810753454</c:v>
                </c:pt>
                <c:pt idx="37">
                  <c:v>-32.026719478017455</c:v>
                </c:pt>
                <c:pt idx="38">
                  <c:v>-32.00693237590967</c:v>
                </c:pt>
                <c:pt idx="39">
                  <c:v>-31.482967987037181</c:v>
                </c:pt>
                <c:pt idx="40">
                  <c:v>-30.464175275412465</c:v>
                </c:pt>
                <c:pt idx="41">
                  <c:v>-28.967678169044444</c:v>
                </c:pt>
                <c:pt idx="42">
                  <c:v>-27.01808891707956</c:v>
                </c:pt>
                <c:pt idx="43">
                  <c:v>-24.647104102280188</c:v>
                </c:pt>
                <c:pt idx="44">
                  <c:v>-21.892989927833089</c:v>
                </c:pt>
                <c:pt idx="45">
                  <c:v>-18.79996512742245</c:v>
                </c:pt>
                <c:pt idx="46">
                  <c:v>-15.417491442163065</c:v>
                </c:pt>
                <c:pt idx="47">
                  <c:v>-11.799483042541503</c:v>
                </c:pt>
                <c:pt idx="48">
                  <c:v>-8.0034475257059103</c:v>
                </c:pt>
                <c:pt idx="49">
                  <c:v>-4.0895721689460949</c:v>
                </c:pt>
                <c:pt idx="50">
                  <c:v>-0.11976995290637529</c:v>
                </c:pt>
                <c:pt idx="51">
                  <c:v>3.843299529673275</c:v>
                </c:pt>
                <c:pt idx="52">
                  <c:v>7.7372188010725731</c:v>
                </c:pt>
                <c:pt idx="53">
                  <c:v>11.500795264757722</c:v>
                </c:pt>
                <c:pt idx="54">
                  <c:v>15.075022541565124</c:v>
                </c:pt>
                <c:pt idx="55">
                  <c:v>18.404005278051653</c:v>
                </c:pt>
                <c:pt idx="56">
                  <c:v>21.435832937382667</c:v>
                </c:pt>
                <c:pt idx="57">
                  <c:v>24.123388918292246</c:v>
                </c:pt>
                <c:pt idx="58">
                  <c:v>26.425082396104482</c:v>
                </c:pt>
                <c:pt idx="59">
                  <c:v>28.305491524572055</c:v>
                </c:pt>
                <c:pt idx="60">
                  <c:v>29.735908058331049</c:v>
                </c:pt>
                <c:pt idx="61">
                  <c:v>30.694775030321065</c:v>
                </c:pt>
                <c:pt idx="62">
                  <c:v>31.168010821439676</c:v>
                </c:pt>
                <c:pt idx="63">
                  <c:v>31.149214763883037</c:v>
                </c:pt>
                <c:pt idx="64">
                  <c:v>30.639751296429299</c:v>
                </c:pt>
                <c:pt idx="65">
                  <c:v>29.648711609624108</c:v>
                </c:pt>
                <c:pt idx="66">
                  <c:v>28.192753651092438</c:v>
                </c:pt>
                <c:pt idx="67">
                  <c:v>26.295823275561865</c:v>
                </c:pt>
                <c:pt idx="68">
                  <c:v>23.988761190518993</c:v>
                </c:pt>
                <c:pt idx="69">
                  <c:v>21.308802137438409</c:v>
                </c:pt>
                <c:pt idx="70">
                  <c:v>18.298974432202787</c:v>
                </c:pt>
                <c:pt idx="71">
                  <c:v>15.007409540384405</c:v>
                </c:pt>
                <c:pt idx="72">
                  <c:v>11.486572759311878</c:v>
                </c:pt>
                <c:pt idx="73">
                  <c:v>7.7924272976471807</c:v>
                </c:pt>
                <c:pt idx="74">
                  <c:v>3.9835450657338529</c:v>
                </c:pt>
                <c:pt idx="75">
                  <c:v>0.12017830055781314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B2-4816-8255-40FC1DCA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60128"/>
        <c:axId val="179362432"/>
      </c:scatterChart>
      <c:scatterChart>
        <c:scatterStyle val="lineMarker"/>
        <c:varyColors val="0"/>
        <c:ser>
          <c:idx val="0"/>
          <c:order val="0"/>
          <c:tx>
            <c:strRef>
              <c:f>Sim48k!$I$79:$I$80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Sim48k!$H$81:$H$156</c:f>
              <c:numCache>
                <c:formatCode>General</c:formatCode>
                <c:ptCount val="76"/>
                <c:pt idx="0">
                  <c:v>0</c:v>
                </c:pt>
                <c:pt idx="1">
                  <c:v>2.7715827642410865E-5</c:v>
                </c:pt>
                <c:pt idx="2">
                  <c:v>5.543165528482173E-5</c:v>
                </c:pt>
                <c:pt idx="3">
                  <c:v>8.3147482927232595E-5</c:v>
                </c:pt>
                <c:pt idx="4">
                  <c:v>1.1086331056964346E-4</c:v>
                </c:pt>
                <c:pt idx="5">
                  <c:v>1.3857913821205433E-4</c:v>
                </c:pt>
                <c:pt idx="6">
                  <c:v>1.6629496585446519E-4</c:v>
                </c:pt>
                <c:pt idx="7">
                  <c:v>1.9401079349687606E-4</c:v>
                </c:pt>
                <c:pt idx="8">
                  <c:v>2.2172662113928692E-4</c:v>
                </c:pt>
                <c:pt idx="9">
                  <c:v>2.4944244878169779E-4</c:v>
                </c:pt>
                <c:pt idx="10">
                  <c:v>2.7715827642410865E-4</c:v>
                </c:pt>
                <c:pt idx="11">
                  <c:v>3.0487410406651952E-4</c:v>
                </c:pt>
                <c:pt idx="12">
                  <c:v>3.3258993170893038E-4</c:v>
                </c:pt>
                <c:pt idx="13">
                  <c:v>3.6030575935134125E-4</c:v>
                </c:pt>
                <c:pt idx="14">
                  <c:v>3.8802158699375211E-4</c:v>
                </c:pt>
                <c:pt idx="15">
                  <c:v>4.1573741463616298E-4</c:v>
                </c:pt>
                <c:pt idx="16">
                  <c:v>4.4345324227857384E-4</c:v>
                </c:pt>
                <c:pt idx="17">
                  <c:v>4.7116906992098471E-4</c:v>
                </c:pt>
                <c:pt idx="18">
                  <c:v>4.9888489756339557E-4</c:v>
                </c:pt>
                <c:pt idx="19">
                  <c:v>5.2660072520580644E-4</c:v>
                </c:pt>
                <c:pt idx="20">
                  <c:v>5.543165528482173E-4</c:v>
                </c:pt>
                <c:pt idx="21">
                  <c:v>5.8203238049062817E-4</c:v>
                </c:pt>
                <c:pt idx="22">
                  <c:v>6.0974820813303903E-4</c:v>
                </c:pt>
                <c:pt idx="23">
                  <c:v>6.374640357754499E-4</c:v>
                </c:pt>
                <c:pt idx="24">
                  <c:v>6.6517986341786076E-4</c:v>
                </c:pt>
                <c:pt idx="25">
                  <c:v>6.9289569106027163E-4</c:v>
                </c:pt>
                <c:pt idx="26">
                  <c:v>7.2061151870268249E-4</c:v>
                </c:pt>
                <c:pt idx="27">
                  <c:v>7.4832734634509336E-4</c:v>
                </c:pt>
                <c:pt idx="28">
                  <c:v>7.7604317398750422E-4</c:v>
                </c:pt>
                <c:pt idx="29">
                  <c:v>8.0375900162991509E-4</c:v>
                </c:pt>
                <c:pt idx="30">
                  <c:v>8.3147482927232595E-4</c:v>
                </c:pt>
                <c:pt idx="31">
                  <c:v>8.5919065691473682E-4</c:v>
                </c:pt>
                <c:pt idx="32">
                  <c:v>8.8690648455714768E-4</c:v>
                </c:pt>
                <c:pt idx="33">
                  <c:v>9.1462231219955855E-4</c:v>
                </c:pt>
                <c:pt idx="34">
                  <c:v>9.4233813984196941E-4</c:v>
                </c:pt>
                <c:pt idx="35">
                  <c:v>9.7005396748438028E-4</c:v>
                </c:pt>
                <c:pt idx="36">
                  <c:v>9.9776979512679114E-4</c:v>
                </c:pt>
                <c:pt idx="37">
                  <c:v>1.0254856227692021E-3</c:v>
                </c:pt>
                <c:pt idx="38">
                  <c:v>1.0532014504116131E-3</c:v>
                </c:pt>
                <c:pt idx="39">
                  <c:v>1.0809172780540241E-3</c:v>
                </c:pt>
                <c:pt idx="40">
                  <c:v>1.108633105696435E-3</c:v>
                </c:pt>
                <c:pt idx="41">
                  <c:v>1.136348933338846E-3</c:v>
                </c:pt>
                <c:pt idx="42">
                  <c:v>1.164064760981257E-3</c:v>
                </c:pt>
                <c:pt idx="43">
                  <c:v>1.191780588623668E-3</c:v>
                </c:pt>
                <c:pt idx="44">
                  <c:v>1.2194964162660789E-3</c:v>
                </c:pt>
                <c:pt idx="45">
                  <c:v>1.2472122439084899E-3</c:v>
                </c:pt>
                <c:pt idx="46">
                  <c:v>1.2749280715509009E-3</c:v>
                </c:pt>
                <c:pt idx="47">
                  <c:v>1.3026438991933119E-3</c:v>
                </c:pt>
                <c:pt idx="48">
                  <c:v>1.3303597268357228E-3</c:v>
                </c:pt>
                <c:pt idx="49">
                  <c:v>1.3580755544781338E-3</c:v>
                </c:pt>
                <c:pt idx="50">
                  <c:v>1.3857913821205448E-3</c:v>
                </c:pt>
                <c:pt idx="51">
                  <c:v>1.4135072097629557E-3</c:v>
                </c:pt>
                <c:pt idx="52">
                  <c:v>1.4412230374053667E-3</c:v>
                </c:pt>
                <c:pt idx="53">
                  <c:v>1.4689388650477777E-3</c:v>
                </c:pt>
                <c:pt idx="54">
                  <c:v>1.4966546926901887E-3</c:v>
                </c:pt>
                <c:pt idx="55">
                  <c:v>1.5243705203325996E-3</c:v>
                </c:pt>
                <c:pt idx="56">
                  <c:v>1.5520863479750106E-3</c:v>
                </c:pt>
                <c:pt idx="57">
                  <c:v>1.5798021756174216E-3</c:v>
                </c:pt>
                <c:pt idx="58">
                  <c:v>1.6075180032598326E-3</c:v>
                </c:pt>
                <c:pt idx="59">
                  <c:v>1.6352338309022435E-3</c:v>
                </c:pt>
                <c:pt idx="60">
                  <c:v>1.6629496585446545E-3</c:v>
                </c:pt>
                <c:pt idx="61">
                  <c:v>1.6906654861870655E-3</c:v>
                </c:pt>
                <c:pt idx="62">
                  <c:v>1.7183813138294765E-3</c:v>
                </c:pt>
                <c:pt idx="63">
                  <c:v>1.7460971414718874E-3</c:v>
                </c:pt>
                <c:pt idx="64">
                  <c:v>1.7738129691142984E-3</c:v>
                </c:pt>
                <c:pt idx="65">
                  <c:v>1.8015287967567094E-3</c:v>
                </c:pt>
                <c:pt idx="66">
                  <c:v>1.8292446243991204E-3</c:v>
                </c:pt>
                <c:pt idx="67">
                  <c:v>1.8569604520415313E-3</c:v>
                </c:pt>
                <c:pt idx="68">
                  <c:v>1.8846762796839423E-3</c:v>
                </c:pt>
                <c:pt idx="69">
                  <c:v>1.9123921073263533E-3</c:v>
                </c:pt>
                <c:pt idx="70">
                  <c:v>1.9401079349687642E-3</c:v>
                </c:pt>
                <c:pt idx="71">
                  <c:v>1.9678237626111752E-3</c:v>
                </c:pt>
                <c:pt idx="72">
                  <c:v>1.9955395902535862E-3</c:v>
                </c:pt>
                <c:pt idx="73">
                  <c:v>2.0232554178959972E-3</c:v>
                </c:pt>
                <c:pt idx="74">
                  <c:v>2.0509712455384081E-3</c:v>
                </c:pt>
                <c:pt idx="75">
                  <c:v>2.0786870731808191E-3</c:v>
                </c:pt>
              </c:numCache>
            </c:numRef>
          </c:xVal>
          <c:yVal>
            <c:numRef>
              <c:f>Sim48k!$I$81:$I$156</c:f>
              <c:numCache>
                <c:formatCode>0.000</c:formatCode>
                <c:ptCount val="76"/>
                <c:pt idx="0">
                  <c:v>1.7500000000000002</c:v>
                </c:pt>
                <c:pt idx="1">
                  <c:v>1.7366999559288314</c:v>
                </c:pt>
                <c:pt idx="2">
                  <c:v>1.6960697391803325</c:v>
                </c:pt>
                <c:pt idx="3">
                  <c:v>1.6288087579324584</c:v>
                </c:pt>
                <c:pt idx="4">
                  <c:v>1.5360344287072618</c:v>
                </c:pt>
                <c:pt idx="5">
                  <c:v>1.4192636655728157</c:v>
                </c:pt>
                <c:pt idx="6">
                  <c:v>1.2803881160645212</c:v>
                </c:pt>
                <c:pt idx="7">
                  <c:v>1.1216435475235507</c:v>
                </c:pt>
                <c:pt idx="8">
                  <c:v>0.94557387882487398</c:v>
                </c:pt>
                <c:pt idx="9">
                  <c:v>0.75499043574627966</c:v>
                </c:pt>
                <c:pt idx="10">
                  <c:v>0.55292708221850251</c:v>
                </c:pt>
                <c:pt idx="11">
                  <c:v>0.34259194324954739</c:v>
                </c:pt>
                <c:pt idx="12">
                  <c:v>0.12731648745508164</c:v>
                </c:pt>
                <c:pt idx="13">
                  <c:v>-8.9497222945248922E-2</c:v>
                </c:pt>
                <c:pt idx="14">
                  <c:v>-0.30443027969105624</c:v>
                </c:pt>
                <c:pt idx="15">
                  <c:v>-0.51410082472738738</c:v>
                </c:pt>
                <c:pt idx="16">
                  <c:v>-0.71521724575811785</c:v>
                </c:pt>
                <c:pt idx="17">
                  <c:v>-0.90462983461340252</c:v>
                </c:pt>
                <c:pt idx="18">
                  <c:v>-1.0793800979702826</c:v>
                </c:pt>
                <c:pt idx="19">
                  <c:v>-1.2367469487088858</c:v>
                </c:pt>
                <c:pt idx="20">
                  <c:v>-1.3742890570030515</c:v>
                </c:pt>
                <c:pt idx="21">
                  <c:v>-1.4898827023070251</c:v>
                </c:pt>
                <c:pt idx="22">
                  <c:v>-1.5817545397068564</c:v>
                </c:pt>
                <c:pt idx="23">
                  <c:v>-1.6485087754950813</c:v>
                </c:pt>
                <c:pt idx="24">
                  <c:v>-1.6891483359981789</c:v>
                </c:pt>
                <c:pt idx="25">
                  <c:v>-1.7030897092166195</c:v>
                </c:pt>
                <c:pt idx="26">
                  <c:v>-1.6901712392082102</c:v>
                </c:pt>
                <c:pt idx="27">
                  <c:v>-1.6506547567653165</c:v>
                </c:pt>
                <c:pt idx="28">
                  <c:v>-1.5852205351658515</c:v>
                </c:pt>
                <c:pt idx="29">
                  <c:v>-1.494955664955556</c:v>
                </c:pt>
                <c:pt idx="30">
                  <c:v>-1.3813360451881644</c:v>
                </c:pt>
                <c:pt idx="31">
                  <c:v>-1.2462022886843389</c:v>
                </c:pt>
                <c:pt idx="32">
                  <c:v>-1.0917299340994651</c:v>
                </c:pt>
                <c:pt idx="33">
                  <c:v>-0.92039444642510371</c:v>
                </c:pt>
                <c:pt idx="34">
                  <c:v>-0.73493156860336195</c:v>
                </c:pt>
                <c:pt idx="35">
                  <c:v>-0.53829365894786729</c:v>
                </c:pt>
                <c:pt idx="36">
                  <c:v>-0.33360271092435739</c:v>
                </c:pt>
                <c:pt idx="37">
                  <c:v>-0.12410080259589579</c:v>
                </c:pt>
                <c:pt idx="38">
                  <c:v>8.6901238093218161E-2</c:v>
                </c:pt>
                <c:pt idx="39">
                  <c:v>0.29607613962103818</c:v>
                </c:pt>
                <c:pt idx="40">
                  <c:v>0.50013263866367819</c:v>
                </c:pt>
                <c:pt idx="41">
                  <c:v>0.69586725072980904</c:v>
                </c:pt>
                <c:pt idx="42">
                  <c:v>0.88021454556574541</c:v>
                </c:pt>
                <c:pt idx="43">
                  <c:v>1.0502951385655916</c:v>
                </c:pt>
                <c:pt idx="44">
                  <c:v>1.2034606471143776</c:v>
                </c:pt>
                <c:pt idx="45">
                  <c:v>1.3373349102357446</c:v>
                </c:pt>
                <c:pt idx="46">
                  <c:v>1.4498508303050814</c:v>
                </c:pt>
                <c:pt idx="47">
                  <c:v>1.5392822659489829</c:v>
                </c:pt>
                <c:pt idx="48">
                  <c:v>1.6042704844524134</c:v>
                </c:pt>
                <c:pt idx="49">
                  <c:v>1.6438447687691824</c:v>
                </c:pt>
                <c:pt idx="50">
                  <c:v>1.6574368671957509</c:v>
                </c:pt>
                <c:pt idx="51">
                  <c:v>1.644889071445135</c:v>
                </c:pt>
                <c:pt idx="52">
                  <c:v>1.6064558096976911</c:v>
                </c:pt>
                <c:pt idx="53">
                  <c:v>1.5427987436134667</c:v>
                </c:pt>
                <c:pt idx="54">
                  <c:v>1.4549754606498599</c:v>
                </c:pt>
                <c:pt idx="55">
                  <c:v>1.3444219537261641</c:v>
                </c:pt>
                <c:pt idx="56">
                  <c:v>1.2129291777304501</c:v>
                </c:pt>
                <c:pt idx="57">
                  <c:v>1.0626140650459348</c:v>
                </c:pt>
                <c:pt idx="58">
                  <c:v>0.89588546873387842</c:v>
                </c:pt>
                <c:pt idx="59">
                  <c:v>0.7154055808994757</c:v>
                </c:pt>
                <c:pt idx="60">
                  <c:v>0.52404744385999302</c:v>
                </c:pt>
                <c:pt idx="61">
                  <c:v>0.3248492319452741</c:v>
                </c:pt>
                <c:pt idx="62">
                  <c:v>0.12096603116274519</c:v>
                </c:pt>
                <c:pt idx="63">
                  <c:v>-8.4380118202660642E-2</c:v>
                </c:pt>
                <c:pt idx="64">
                  <c:v>-0.28795112527961098</c:v>
                </c:pt>
                <c:pt idx="65">
                  <c:v>-0.48654389462808256</c:v>
                </c:pt>
                <c:pt idx="66">
                  <c:v>-0.67704071012274258</c:v>
                </c:pt>
                <c:pt idx="67">
                  <c:v>-0.85645816441864608</c:v>
                </c:pt>
                <c:pt idx="68">
                  <c:v>-1.0219938663483792</c:v>
                </c:pt>
                <c:pt idx="69">
                  <c:v>-1.1710701952717026</c:v>
                </c:pt>
                <c:pt idx="70">
                  <c:v>-1.3013744195068198</c:v>
                </c:pt>
                <c:pt idx="71">
                  <c:v>-1.4108945547332647</c:v>
                </c:pt>
                <c:pt idx="72">
                  <c:v>-1.4979504067218599</c:v>
                </c:pt>
                <c:pt idx="73">
                  <c:v>-1.5612193198171731</c:v>
                </c:pt>
                <c:pt idx="74">
                  <c:v>-1.5997562370397527</c:v>
                </c:pt>
                <c:pt idx="75">
                  <c:v>-1.613007768142992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B2-4816-8255-40FC1DCA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372800"/>
        <c:axId val="179374336"/>
      </c:scatterChart>
      <c:valAx>
        <c:axId val="179360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[sec]</a:t>
                </a:r>
              </a:p>
            </c:rich>
          </c:tx>
          <c:layout>
            <c:manualLayout>
              <c:xMode val="edge"/>
              <c:yMode val="edge"/>
              <c:x val="0.45557698005613856"/>
              <c:y val="0.8886010362694301"/>
            </c:manualLayout>
          </c:layout>
          <c:overlay val="0"/>
          <c:spPr>
            <a:noFill/>
            <a:ln w="25400">
              <a:noFill/>
            </a:ln>
          </c:spPr>
        </c:title>
        <c:numFmt formatCode="##0.0E+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362432"/>
        <c:crossesAt val="-10000000000"/>
        <c:crossBetween val="midCat"/>
      </c:valAx>
      <c:valAx>
        <c:axId val="17936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Usec [kV]</a:t>
                </a:r>
              </a:p>
            </c:rich>
          </c:tx>
          <c:layout>
            <c:manualLayout>
              <c:xMode val="edge"/>
              <c:yMode val="edge"/>
              <c:x val="3.0245774609536168E-2"/>
              <c:y val="0.443005181347150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360128"/>
        <c:crosses val="autoZero"/>
        <c:crossBetween val="midCat"/>
      </c:valAx>
      <c:valAx>
        <c:axId val="17937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374336"/>
        <c:crosses val="autoZero"/>
        <c:crossBetween val="midCat"/>
      </c:valAx>
      <c:valAx>
        <c:axId val="1793743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0.9187154037646611"/>
              <c:y val="0.494818652849740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37280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593604709656994"/>
          <c:y val="0.13471502590673576"/>
          <c:w val="0.31190955066084175"/>
          <c:h val="6.73575129533678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Spark</a:t>
            </a:r>
          </a:p>
        </c:rich>
      </c:tx>
      <c:layout>
        <c:manualLayout>
          <c:xMode val="edge"/>
          <c:yMode val="edge"/>
          <c:x val="0.448105797037329"/>
          <c:y val="3.0120540993154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879260900868"/>
          <c:y val="0.22088396728313112"/>
          <c:w val="0.78089024924887485"/>
          <c:h val="0.63654743298865968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Sim48k!$L$203:$L$204</c:f>
              <c:strCache>
                <c:ptCount val="2"/>
                <c:pt idx="0">
                  <c:v>Usec</c:v>
                </c:pt>
                <c:pt idx="1">
                  <c:v>[kV]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Sim48k!$H$205:$H$255</c:f>
              <c:numCache>
                <c:formatCode>##0.000E+0</c:formatCode>
                <c:ptCount val="51"/>
                <c:pt idx="0" formatCode="General">
                  <c:v>0</c:v>
                </c:pt>
                <c:pt idx="1">
                  <c:v>1.366462801190612E-5</c:v>
                </c:pt>
                <c:pt idx="2">
                  <c:v>2.732925602381224E-5</c:v>
                </c:pt>
                <c:pt idx="3">
                  <c:v>4.099388403571836E-5</c:v>
                </c:pt>
                <c:pt idx="4">
                  <c:v>5.465851204762448E-5</c:v>
                </c:pt>
                <c:pt idx="5">
                  <c:v>6.83231400595306E-5</c:v>
                </c:pt>
                <c:pt idx="6">
                  <c:v>8.198776807143672E-5</c:v>
                </c:pt>
                <c:pt idx="7">
                  <c:v>9.5652396083342839E-5</c:v>
                </c:pt>
                <c:pt idx="8">
                  <c:v>1.0931702409524896E-4</c:v>
                </c:pt>
                <c:pt idx="9">
                  <c:v>1.2298165210715509E-4</c:v>
                </c:pt>
                <c:pt idx="10">
                  <c:v>1.3664628011906123E-4</c:v>
                </c:pt>
                <c:pt idx="11">
                  <c:v>1.5031090813096736E-4</c:v>
                </c:pt>
                <c:pt idx="12">
                  <c:v>1.6397553614287349E-4</c:v>
                </c:pt>
                <c:pt idx="13">
                  <c:v>1.7764016415477963E-4</c:v>
                </c:pt>
                <c:pt idx="14">
                  <c:v>1.9130479216668576E-4</c:v>
                </c:pt>
                <c:pt idx="15">
                  <c:v>2.0496942017859189E-4</c:v>
                </c:pt>
                <c:pt idx="16">
                  <c:v>2.1863404819049803E-4</c:v>
                </c:pt>
                <c:pt idx="17">
                  <c:v>2.3229867620240416E-4</c:v>
                </c:pt>
                <c:pt idx="18">
                  <c:v>2.4596330421431029E-4</c:v>
                </c:pt>
                <c:pt idx="19">
                  <c:v>2.5962793222621643E-4</c:v>
                </c:pt>
                <c:pt idx="20">
                  <c:v>2.7329256023812256E-4</c:v>
                </c:pt>
                <c:pt idx="21">
                  <c:v>2.8695718825002869E-4</c:v>
                </c:pt>
                <c:pt idx="22">
                  <c:v>3.0062181626193483E-4</c:v>
                </c:pt>
                <c:pt idx="23">
                  <c:v>3.1428644427384096E-4</c:v>
                </c:pt>
                <c:pt idx="24">
                  <c:v>3.2795107228574709E-4</c:v>
                </c:pt>
                <c:pt idx="25">
                  <c:v>3.4161570029765323E-4</c:v>
                </c:pt>
                <c:pt idx="26">
                  <c:v>3.5528032830955936E-4</c:v>
                </c:pt>
                <c:pt idx="27">
                  <c:v>3.689449563214655E-4</c:v>
                </c:pt>
                <c:pt idx="28">
                  <c:v>3.8260958433337163E-4</c:v>
                </c:pt>
                <c:pt idx="29">
                  <c:v>3.9627421234527776E-4</c:v>
                </c:pt>
                <c:pt idx="30">
                  <c:v>4.099388403571839E-4</c:v>
                </c:pt>
                <c:pt idx="31">
                  <c:v>4.2360346836909003E-4</c:v>
                </c:pt>
                <c:pt idx="32">
                  <c:v>4.3726809638099616E-4</c:v>
                </c:pt>
                <c:pt idx="33">
                  <c:v>4.509327243929023E-4</c:v>
                </c:pt>
                <c:pt idx="34">
                  <c:v>4.6459735240480843E-4</c:v>
                </c:pt>
                <c:pt idx="35">
                  <c:v>4.7826198041671456E-4</c:v>
                </c:pt>
                <c:pt idx="36">
                  <c:v>4.919266084286207E-4</c:v>
                </c:pt>
                <c:pt idx="37">
                  <c:v>5.0559123644052678E-4</c:v>
                </c:pt>
                <c:pt idx="38">
                  <c:v>5.1925586445243286E-4</c:v>
                </c:pt>
                <c:pt idx="39">
                  <c:v>5.3292049246433893E-4</c:v>
                </c:pt>
                <c:pt idx="40">
                  <c:v>5.4658512047624501E-4</c:v>
                </c:pt>
                <c:pt idx="41">
                  <c:v>5.6024974848815109E-4</c:v>
                </c:pt>
                <c:pt idx="42">
                  <c:v>5.7391437650005717E-4</c:v>
                </c:pt>
                <c:pt idx="43">
                  <c:v>5.8757900451196325E-4</c:v>
                </c:pt>
                <c:pt idx="44">
                  <c:v>6.0124363252386933E-4</c:v>
                </c:pt>
                <c:pt idx="45">
                  <c:v>6.1490826053577541E-4</c:v>
                </c:pt>
                <c:pt idx="46">
                  <c:v>6.2857288854768149E-4</c:v>
                </c:pt>
                <c:pt idx="47">
                  <c:v>6.4223751655958757E-4</c:v>
                </c:pt>
                <c:pt idx="48">
                  <c:v>6.5590214457149365E-4</c:v>
                </c:pt>
                <c:pt idx="49">
                  <c:v>6.6956677258339973E-4</c:v>
                </c:pt>
              </c:numCache>
            </c:numRef>
          </c:xVal>
          <c:yVal>
            <c:numRef>
              <c:f>Sim48k!$L$205:$L$255</c:f>
              <c:numCache>
                <c:formatCode>General</c:formatCode>
                <c:ptCount val="51"/>
                <c:pt idx="0">
                  <c:v>3.0882957663100297</c:v>
                </c:pt>
                <c:pt idx="1">
                  <c:v>4.772310311201549</c:v>
                </c:pt>
                <c:pt idx="2">
                  <c:v>6.2673402640521632</c:v>
                </c:pt>
                <c:pt idx="3">
                  <c:v>7.5214780433562236</c:v>
                </c:pt>
                <c:pt idx="4">
                  <c:v>8.492001976897205</c:v>
                </c:pt>
                <c:pt idx="5">
                  <c:v>9.1468220011564174</c:v>
                </c:pt>
                <c:pt idx="6">
                  <c:v>9.4655289391140851</c:v>
                </c:pt>
                <c:pt idx="7">
                  <c:v>9.4400134994115295</c:v>
                </c:pt>
                <c:pt idx="8">
                  <c:v>9.0746369242562199</c:v>
                </c:pt>
                <c:pt idx="9">
                  <c:v>8.3859514959629227</c:v>
                </c:pt>
                <c:pt idx="10">
                  <c:v>7.4019853034107204</c:v>
                </c:pt>
                <c:pt idx="11">
                  <c:v>6.1611211895510571</c:v>
                </c:pt>
                <c:pt idx="12">
                  <c:v>4.7106140985718801</c:v>
                </c:pt>
                <c:pt idx="13">
                  <c:v>3.104803614589887</c:v>
                </c:pt>
                <c:pt idx="14">
                  <c:v>1.4030888975704323</c:v>
                </c:pt>
                <c:pt idx="15">
                  <c:v>-0.3322588770954723</c:v>
                </c:pt>
                <c:pt idx="16">
                  <c:v>-2.0383663414451676</c:v>
                </c:pt>
                <c:pt idx="17">
                  <c:v>-3.6540275902542443</c:v>
                </c:pt>
                <c:pt idx="18">
                  <c:v>-5.1218920256447094</c:v>
                </c:pt>
                <c:pt idx="19">
                  <c:v>-6.3904924614215339</c:v>
                </c:pt>
                <c:pt idx="20">
                  <c:v>-7.4160420372463944</c:v>
                </c:pt>
                <c:pt idx="21">
                  <c:v>-8.1639374800093627</c:v>
                </c:pt>
                <c:pt idx="22">
                  <c:v>-8.6099173984028443</c:v>
                </c:pt>
                <c:pt idx="23">
                  <c:v>-8.740837186123267</c:v>
                </c:pt>
                <c:pt idx="24">
                  <c:v>-8.5550362600557737</c:v>
                </c:pt>
                <c:pt idx="25">
                  <c:v>-8.0622882520544756</c:v>
                </c:pt>
                <c:pt idx="26">
                  <c:v>-7.2833398644694984</c:v>
                </c:pt>
                <c:pt idx="27">
                  <c:v>-6.2490588461424865</c:v>
                </c:pt>
                <c:pt idx="28">
                  <c:v>-4.9992254203036026</c:v>
                </c:pt>
                <c:pt idx="29">
                  <c:v>-3.5810140078866111</c:v>
                </c:pt>
                <c:pt idx="30">
                  <c:v>-2.0472228018853369</c:v>
                </c:pt>
                <c:pt idx="31">
                  <c:v>-0.45431729180201935</c:v>
                </c:pt>
                <c:pt idx="32">
                  <c:v>1.1396400754478586</c:v>
                </c:pt>
                <c:pt idx="33">
                  <c:v>2.6770984771772524</c:v>
                </c:pt>
                <c:pt idx="34">
                  <c:v>4.1030892356252231</c:v>
                </c:pt>
                <c:pt idx="35">
                  <c:v>5.3671840435084244</c:v>
                </c:pt>
                <c:pt idx="36">
                  <c:v>6.4252713820261729</c:v>
                </c:pt>
                <c:pt idx="37">
                  <c:v>7.2410887995015285</c:v>
                </c:pt>
                <c:pt idx="38">
                  <c:v>7.7874580778115634</c:v>
                </c:pt>
                <c:pt idx="39">
                  <c:v>8.0471814949047751</c:v>
                </c:pt>
                <c:pt idx="40">
                  <c:v>8.0135699764653836</c:v>
                </c:pt>
                <c:pt idx="41">
                  <c:v>7.6905874528503864</c:v>
                </c:pt>
                <c:pt idx="42">
                  <c:v>7.0926097038670992</c:v>
                </c:pt>
                <c:pt idx="43">
                  <c:v>6.2438098772790047</c:v>
                </c:pt>
                <c:pt idx="44">
                  <c:v>5.1771962073684872</c:v>
                </c:pt>
                <c:pt idx="45">
                  <c:v>3.9333397623346711</c:v>
                </c:pt>
                <c:pt idx="46">
                  <c:v>2.5588408801610742</c:v>
                </c:pt>
                <c:pt idx="47">
                  <c:v>1.1045919349865869</c:v>
                </c:pt>
                <c:pt idx="48">
                  <c:v>-0.3760990971158516</c:v>
                </c:pt>
                <c:pt idx="49">
                  <c:v>-1.8294553595490055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83-4107-B946-FD784779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83776"/>
        <c:axId val="179486080"/>
      </c:scatterChart>
      <c:scatterChart>
        <c:scatterStyle val="lineMarker"/>
        <c:varyColors val="0"/>
        <c:ser>
          <c:idx val="0"/>
          <c:order val="0"/>
          <c:tx>
            <c:strRef>
              <c:f>Sim48k!$I$203:$I$204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Sim48k!$H$205:$H$255</c:f>
              <c:numCache>
                <c:formatCode>##0.000E+0</c:formatCode>
                <c:ptCount val="51"/>
                <c:pt idx="0" formatCode="General">
                  <c:v>0</c:v>
                </c:pt>
                <c:pt idx="1">
                  <c:v>1.366462801190612E-5</c:v>
                </c:pt>
                <c:pt idx="2">
                  <c:v>2.732925602381224E-5</c:v>
                </c:pt>
                <c:pt idx="3">
                  <c:v>4.099388403571836E-5</c:v>
                </c:pt>
                <c:pt idx="4">
                  <c:v>5.465851204762448E-5</c:v>
                </c:pt>
                <c:pt idx="5">
                  <c:v>6.83231400595306E-5</c:v>
                </c:pt>
                <c:pt idx="6">
                  <c:v>8.198776807143672E-5</c:v>
                </c:pt>
                <c:pt idx="7">
                  <c:v>9.5652396083342839E-5</c:v>
                </c:pt>
                <c:pt idx="8">
                  <c:v>1.0931702409524896E-4</c:v>
                </c:pt>
                <c:pt idx="9">
                  <c:v>1.2298165210715509E-4</c:v>
                </c:pt>
                <c:pt idx="10">
                  <c:v>1.3664628011906123E-4</c:v>
                </c:pt>
                <c:pt idx="11">
                  <c:v>1.5031090813096736E-4</c:v>
                </c:pt>
                <c:pt idx="12">
                  <c:v>1.6397553614287349E-4</c:v>
                </c:pt>
                <c:pt idx="13">
                  <c:v>1.7764016415477963E-4</c:v>
                </c:pt>
                <c:pt idx="14">
                  <c:v>1.9130479216668576E-4</c:v>
                </c:pt>
                <c:pt idx="15">
                  <c:v>2.0496942017859189E-4</c:v>
                </c:pt>
                <c:pt idx="16">
                  <c:v>2.1863404819049803E-4</c:v>
                </c:pt>
                <c:pt idx="17">
                  <c:v>2.3229867620240416E-4</c:v>
                </c:pt>
                <c:pt idx="18">
                  <c:v>2.4596330421431029E-4</c:v>
                </c:pt>
                <c:pt idx="19">
                  <c:v>2.5962793222621643E-4</c:v>
                </c:pt>
                <c:pt idx="20">
                  <c:v>2.7329256023812256E-4</c:v>
                </c:pt>
                <c:pt idx="21">
                  <c:v>2.8695718825002869E-4</c:v>
                </c:pt>
                <c:pt idx="22">
                  <c:v>3.0062181626193483E-4</c:v>
                </c:pt>
                <c:pt idx="23">
                  <c:v>3.1428644427384096E-4</c:v>
                </c:pt>
                <c:pt idx="24">
                  <c:v>3.2795107228574709E-4</c:v>
                </c:pt>
                <c:pt idx="25">
                  <c:v>3.4161570029765323E-4</c:v>
                </c:pt>
                <c:pt idx="26">
                  <c:v>3.5528032830955936E-4</c:v>
                </c:pt>
                <c:pt idx="27">
                  <c:v>3.689449563214655E-4</c:v>
                </c:pt>
                <c:pt idx="28">
                  <c:v>3.8260958433337163E-4</c:v>
                </c:pt>
                <c:pt idx="29">
                  <c:v>3.9627421234527776E-4</c:v>
                </c:pt>
                <c:pt idx="30">
                  <c:v>4.099388403571839E-4</c:v>
                </c:pt>
                <c:pt idx="31">
                  <c:v>4.2360346836909003E-4</c:v>
                </c:pt>
                <c:pt idx="32">
                  <c:v>4.3726809638099616E-4</c:v>
                </c:pt>
                <c:pt idx="33">
                  <c:v>4.509327243929023E-4</c:v>
                </c:pt>
                <c:pt idx="34">
                  <c:v>4.6459735240480843E-4</c:v>
                </c:pt>
                <c:pt idx="35">
                  <c:v>4.7826198041671456E-4</c:v>
                </c:pt>
                <c:pt idx="36">
                  <c:v>4.919266084286207E-4</c:v>
                </c:pt>
                <c:pt idx="37">
                  <c:v>5.0559123644052678E-4</c:v>
                </c:pt>
                <c:pt idx="38">
                  <c:v>5.1925586445243286E-4</c:v>
                </c:pt>
                <c:pt idx="39">
                  <c:v>5.3292049246433893E-4</c:v>
                </c:pt>
                <c:pt idx="40">
                  <c:v>5.4658512047624501E-4</c:v>
                </c:pt>
                <c:pt idx="41">
                  <c:v>5.6024974848815109E-4</c:v>
                </c:pt>
                <c:pt idx="42">
                  <c:v>5.7391437650005717E-4</c:v>
                </c:pt>
                <c:pt idx="43">
                  <c:v>5.8757900451196325E-4</c:v>
                </c:pt>
                <c:pt idx="44">
                  <c:v>6.0124363252386933E-4</c:v>
                </c:pt>
                <c:pt idx="45">
                  <c:v>6.1490826053577541E-4</c:v>
                </c:pt>
                <c:pt idx="46">
                  <c:v>6.2857288854768149E-4</c:v>
                </c:pt>
                <c:pt idx="47">
                  <c:v>6.4223751655958757E-4</c:v>
                </c:pt>
                <c:pt idx="48">
                  <c:v>6.5590214457149365E-4</c:v>
                </c:pt>
                <c:pt idx="49">
                  <c:v>6.6956677258339973E-4</c:v>
                </c:pt>
              </c:numCache>
            </c:numRef>
          </c:xVal>
          <c:yVal>
            <c:numRef>
              <c:f>Sim48k!$I$205:$I$255</c:f>
              <c:numCache>
                <c:formatCode>0.000</c:formatCode>
                <c:ptCount val="51"/>
                <c:pt idx="0">
                  <c:v>11.851797689725439</c:v>
                </c:pt>
                <c:pt idx="1">
                  <c:v>11.652927310813572</c:v>
                </c:pt>
                <c:pt idx="2">
                  <c:v>11.0416419262021</c:v>
                </c:pt>
                <c:pt idx="3">
                  <c:v>10.039575865073246</c:v>
                </c:pt>
                <c:pt idx="4">
                  <c:v>8.6821937853012905</c:v>
                </c:pt>
                <c:pt idx="5">
                  <c:v>7.0175355247084559</c:v>
                </c:pt>
                <c:pt idx="6">
                  <c:v>5.104515897376972</c:v>
                </c:pt>
                <c:pt idx="7">
                  <c:v>3.0108396078386526</c:v>
                </c:pt>
                <c:pt idx="8">
                  <c:v>0.81060507753322097</c:v>
                </c:pt>
                <c:pt idx="9">
                  <c:v>-1.4183180122006065</c:v>
                </c:pt>
                <c:pt idx="10">
                  <c:v>-3.5970446478174707</c:v>
                </c:pt>
                <c:pt idx="11">
                  <c:v>-5.6484663454249171</c:v>
                </c:pt>
                <c:pt idx="12">
                  <c:v>-7.4999801385283398</c:v>
                </c:pt>
                <c:pt idx="13">
                  <c:v>-9.0860581085911605</c:v>
                </c:pt>
                <c:pt idx="14">
                  <c:v>-10.350566518774876</c:v>
                </c:pt>
                <c:pt idx="15">
                  <c:v>-11.248752473151855</c:v>
                </c:pt>
                <c:pt idx="16">
                  <c:v>-11.748827790468273</c:v>
                </c:pt>
                <c:pt idx="17">
                  <c:v>-11.833094036730653</c:v>
                </c:pt>
                <c:pt idx="18">
                  <c:v>-11.498568899983754</c:v>
                </c:pt>
                <c:pt idx="19">
                  <c:v>-10.757091738913878</c:v>
                </c:pt>
                <c:pt idx="20">
                  <c:v>-9.6349045697502884</c:v>
                </c:pt>
                <c:pt idx="21">
                  <c:v>-8.171723320982224</c:v>
                </c:pt>
                <c:pt idx="22">
                  <c:v>-6.4193322256144079</c:v>
                </c:pt>
                <c:pt idx="23">
                  <c:v>-4.4397510975792001</c:v>
                </c:pt>
                <c:pt idx="24">
                  <c:v>-2.3030403552097733</c:v>
                </c:pt>
                <c:pt idx="25">
                  <c:v>-8.4821475366685745E-2</c:v>
                </c:pt>
                <c:pt idx="26">
                  <c:v>2.1363993668429173</c:v>
                </c:pt>
                <c:pt idx="27">
                  <c:v>4.2820097522503362</c:v>
                </c:pt>
                <c:pt idx="28">
                  <c:v>6.2760732319509618</c:v>
                </c:pt>
                <c:pt idx="29">
                  <c:v>8.048016834929772</c:v>
                </c:pt>
                <c:pt idx="30">
                  <c:v>9.5351287539618301</c:v>
                </c:pt>
                <c:pt idx="31">
                  <c:v>10.684777812845228</c:v>
                </c:pt>
                <c:pt idx="32">
                  <c:v>11.456276164610218</c:v>
                </c:pt>
                <c:pt idx="33">
                  <c:v>11.822319296952397</c:v>
                </c:pt>
                <c:pt idx="34">
                  <c:v>11.769952380884629</c:v>
                </c:pt>
                <c:pt idx="35">
                  <c:v>11.301028762043805</c:v>
                </c:pt>
                <c:pt idx="36">
                  <c:v>10.432144367940552</c:v>
                </c:pt>
                <c:pt idx="37">
                  <c:v>9.1940503525800938</c:v>
                </c:pt>
                <c:pt idx="38">
                  <c:v>7.6305647658637348</c:v>
                </c:pt>
                <c:pt idx="39">
                  <c:v>5.7970217654634784</c:v>
                </c:pt>
                <c:pt idx="40">
                  <c:v>3.7583132559446804</c:v>
                </c:pt>
                <c:pt idx="41">
                  <c:v>1.5865922645379213</c:v>
                </c:pt>
                <c:pt idx="42">
                  <c:v>-0.6412806653791846</c:v>
                </c:pt>
                <c:pt idx="43">
                  <c:v>-2.8464576870310792</c:v>
                </c:pt>
                <c:pt idx="44">
                  <c:v>-4.9508941967146871</c:v>
                </c:pt>
                <c:pt idx="45">
                  <c:v>-6.8801109522630863</c:v>
                </c:pt>
                <c:pt idx="46">
                  <c:v>-8.5658300078851717</c:v>
                </c:pt>
                <c:pt idx="47">
                  <c:v>-9.9483911755965195</c:v>
                </c:pt>
                <c:pt idx="48">
                  <c:v>-10.978863490957597</c:v>
                </c:pt>
                <c:pt idx="49">
                  <c:v>-11.62077695510223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83-4107-B946-FD784779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897856"/>
        <c:axId val="179899392"/>
      </c:scatterChart>
      <c:valAx>
        <c:axId val="179483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t[sec]</a:t>
                </a:r>
              </a:p>
            </c:rich>
          </c:tx>
          <c:layout>
            <c:manualLayout>
              <c:xMode val="edge"/>
              <c:yMode val="edge"/>
              <c:x val="0.46787517043603472"/>
              <c:y val="0.9116483740594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486080"/>
        <c:crossesAt val="-10000000000"/>
        <c:crossBetween val="midCat"/>
      </c:valAx>
      <c:valAx>
        <c:axId val="17948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Usec [kV]</a:t>
                </a:r>
              </a:p>
            </c:rich>
          </c:tx>
          <c:layout>
            <c:manualLayout>
              <c:xMode val="edge"/>
              <c:yMode val="edge"/>
              <c:x val="2.6359164531607589E-2"/>
              <c:y val="0.45984025916215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483776"/>
        <c:crosses val="autoZero"/>
        <c:crossBetween val="midCat"/>
      </c:valAx>
      <c:valAx>
        <c:axId val="17989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899392"/>
        <c:crosses val="autoZero"/>
        <c:crossBetween val="midCat"/>
      </c:valAx>
      <c:valAx>
        <c:axId val="179899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0.89785904185788346"/>
              <c:y val="0.504017052618781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9897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561809457540812"/>
          <c:y val="0.13052234430366838"/>
          <c:w val="0.26194419753285042"/>
          <c:h val="4.81928655890467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Codd Fig.71</a:t>
            </a:r>
          </a:p>
        </c:rich>
      </c:tx>
      <c:layout>
        <c:manualLayout>
          <c:xMode val="edge"/>
          <c:yMode val="edge"/>
          <c:x val="0.3991688043797146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932806950046"/>
          <c:y val="0.13262599469496023"/>
          <c:w val="0.65904432806442481"/>
          <c:h val="0.69496021220159154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Fig.71!$B$6</c:f>
              <c:strCache>
                <c:ptCount val="1"/>
                <c:pt idx="0">
                  <c:v>Zcalc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Fig.71!$A$7:$A$27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Fig.71!$B$7:$B$27</c:f>
              <c:numCache>
                <c:formatCode>0.00</c:formatCode>
                <c:ptCount val="21"/>
                <c:pt idx="0">
                  <c:v>8.103163113762352E-3</c:v>
                </c:pt>
                <c:pt idx="1">
                  <c:v>7.0057498990398983</c:v>
                </c:pt>
                <c:pt idx="2">
                  <c:v>15.124080239884913</c:v>
                </c:pt>
                <c:pt idx="3">
                  <c:v>25.274560378849454</c:v>
                </c:pt>
                <c:pt idx="4">
                  <c:v>38.649726274730874</c:v>
                </c:pt>
                <c:pt idx="5">
                  <c:v>56.593753580760904</c:v>
                </c:pt>
                <c:pt idx="6">
                  <c:v>80.230378556760769</c:v>
                </c:pt>
                <c:pt idx="7">
                  <c:v>109.63868383419012</c:v>
                </c:pt>
                <c:pt idx="8">
                  <c:v>142.78380754953307</c:v>
                </c:pt>
                <c:pt idx="9">
                  <c:v>176.47007496234559</c:v>
                </c:pt>
                <c:pt idx="10">
                  <c:v>209.71480529698408</c:v>
                </c:pt>
                <c:pt idx="11">
                  <c:v>243.38836567523171</c:v>
                </c:pt>
                <c:pt idx="12">
                  <c:v>277.77440909921864</c:v>
                </c:pt>
                <c:pt idx="13">
                  <c:v>312.50630604359776</c:v>
                </c:pt>
                <c:pt idx="14">
                  <c:v>347.21069674759514</c:v>
                </c:pt>
                <c:pt idx="15">
                  <c:v>381.73152190474656</c:v>
                </c:pt>
                <c:pt idx="16">
                  <c:v>416.10474684021005</c:v>
                </c:pt>
                <c:pt idx="17">
                  <c:v>450.48336313795664</c:v>
                </c:pt>
                <c:pt idx="18">
                  <c:v>485.07735959038456</c:v>
                </c:pt>
                <c:pt idx="19">
                  <c:v>520.11711934184621</c:v>
                </c:pt>
                <c:pt idx="20">
                  <c:v>555.83457879942705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1E-412D-8A64-7B66355019E6}"/>
            </c:ext>
          </c:extLst>
        </c:ser>
        <c:ser>
          <c:idx val="1"/>
          <c:order val="1"/>
          <c:tx>
            <c:strRef>
              <c:f>Fig.71!$C$6</c:f>
              <c:strCache>
                <c:ptCount val="1"/>
                <c:pt idx="0">
                  <c:v>Z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Fig.71!$A$7:$A$27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Fig.71!$C$7:$C$27</c:f>
              <c:numCache>
                <c:formatCode>General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25</c:v>
                </c:pt>
                <c:pt idx="4">
                  <c:v>39</c:v>
                </c:pt>
                <c:pt idx="5">
                  <c:v>56.5</c:v>
                </c:pt>
                <c:pt idx="6">
                  <c:v>80</c:v>
                </c:pt>
                <c:pt idx="7">
                  <c:v>110</c:v>
                </c:pt>
                <c:pt idx="8">
                  <c:v>142.5</c:v>
                </c:pt>
                <c:pt idx="9">
                  <c:v>176.5</c:v>
                </c:pt>
                <c:pt idx="10">
                  <c:v>210</c:v>
                </c:pt>
                <c:pt idx="11">
                  <c:v>243</c:v>
                </c:pt>
                <c:pt idx="12">
                  <c:v>278</c:v>
                </c:pt>
                <c:pt idx="13">
                  <c:v>312.5</c:v>
                </c:pt>
                <c:pt idx="14">
                  <c:v>347</c:v>
                </c:pt>
                <c:pt idx="15">
                  <c:v>382</c:v>
                </c:pt>
                <c:pt idx="16">
                  <c:v>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1E-412D-8A64-7B6635501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29792"/>
        <c:axId val="180132096"/>
      </c:scatterChart>
      <c:valAx>
        <c:axId val="180129792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L/D</a:t>
                </a:r>
              </a:p>
            </c:rich>
          </c:tx>
          <c:layout>
            <c:manualLayout>
              <c:xMode val="edge"/>
              <c:yMode val="edge"/>
              <c:x val="0.44282789235874598"/>
              <c:y val="0.8992042440318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132096"/>
        <c:crosses val="autoZero"/>
        <c:crossBetween val="midCat"/>
      </c:valAx>
      <c:valAx>
        <c:axId val="18013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Z</a:t>
                </a:r>
              </a:p>
            </c:rich>
          </c:tx>
          <c:layout>
            <c:manualLayout>
              <c:xMode val="edge"/>
              <c:yMode val="edge"/>
              <c:x val="3.3264067031642891E-2"/>
              <c:y val="0.46684350132625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129792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83868835950526"/>
          <c:y val="0.44827586206896552"/>
          <c:w val="0.14553029326343764"/>
          <c:h val="0.11405835543766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Codd's Fig.165</a:t>
            </a:r>
          </a:p>
        </c:rich>
      </c:tx>
      <c:layout>
        <c:manualLayout>
          <c:xMode val="edge"/>
          <c:yMode val="edge"/>
          <c:x val="9.9476609328318144E-2"/>
          <c:y val="3.7861915367483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6425706986439"/>
          <c:y val="0.18040089086859687"/>
          <c:w val="0.7626540048504391"/>
          <c:h val="0.66146993318485525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Fig.165!$B$5:$B$6</c:f>
              <c:strCache>
                <c:ptCount val="2"/>
                <c:pt idx="0">
                  <c:v>C observed</c:v>
                </c:pt>
                <c:pt idx="1">
                  <c:v>[uF]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Fig.165!$A$7:$A$15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Fig.165!$B$7:$B$15</c:f>
              <c:numCache>
                <c:formatCode>General</c:formatCode>
                <c:ptCount val="9"/>
                <c:pt idx="0">
                  <c:v>0.4</c:v>
                </c:pt>
                <c:pt idx="1">
                  <c:v>0.44</c:v>
                </c:pt>
                <c:pt idx="2">
                  <c:v>0.5</c:v>
                </c:pt>
                <c:pt idx="3">
                  <c:v>0.59</c:v>
                </c:pt>
                <c:pt idx="4">
                  <c:v>0.7</c:v>
                </c:pt>
                <c:pt idx="5">
                  <c:v>0.83</c:v>
                </c:pt>
                <c:pt idx="6">
                  <c:v>1</c:v>
                </c:pt>
                <c:pt idx="7">
                  <c:v>1.23</c:v>
                </c:pt>
                <c:pt idx="8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DA-4589-942C-BBB1A5B80EFE}"/>
            </c:ext>
          </c:extLst>
        </c:ser>
        <c:ser>
          <c:idx val="1"/>
          <c:order val="1"/>
          <c:tx>
            <c:strRef>
              <c:f>Fig.165!$C$5:$C$6</c:f>
              <c:strCache>
                <c:ptCount val="2"/>
                <c:pt idx="0">
                  <c:v>C predicted</c:v>
                </c:pt>
                <c:pt idx="1">
                  <c:v>[uF]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Fig.165!$A$7:$A$15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Fig.165!$C$7:$C$15</c:f>
              <c:numCache>
                <c:formatCode>0.000</c:formatCode>
                <c:ptCount val="9"/>
                <c:pt idx="0">
                  <c:v>0.40390648483049701</c:v>
                </c:pt>
                <c:pt idx="1">
                  <c:v>0.44679313222635675</c:v>
                </c:pt>
                <c:pt idx="2">
                  <c:v>0.50423175455945035</c:v>
                </c:pt>
                <c:pt idx="3">
                  <c:v>0.58116001861961242</c:v>
                </c:pt>
                <c:pt idx="4">
                  <c:v>0.6841910031893863</c:v>
                </c:pt>
                <c:pt idx="5">
                  <c:v>0.82218168725207574</c:v>
                </c:pt>
                <c:pt idx="6">
                  <c:v>1.0069943333468421</c:v>
                </c:pt>
                <c:pt idx="7">
                  <c:v>1.254516217802697</c:v>
                </c:pt>
                <c:pt idx="8">
                  <c:v>1.5860253681730765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DA-4589-942C-BBB1A5B80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64864"/>
        <c:axId val="180191616"/>
      </c:scatterChart>
      <c:valAx>
        <c:axId val="180164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Spark [inches]</a:t>
                </a:r>
              </a:p>
            </c:rich>
          </c:tx>
          <c:layout>
            <c:manualLayout>
              <c:xMode val="edge"/>
              <c:yMode val="edge"/>
              <c:x val="0.36998317855444646"/>
              <c:y val="0.90200445434298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191616"/>
        <c:crosses val="autoZero"/>
        <c:crossBetween val="midCat"/>
        <c:majorUnit val="1"/>
        <c:minorUnit val="0.5"/>
      </c:valAx>
      <c:valAx>
        <c:axId val="18019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C [uF]</a:t>
                </a:r>
              </a:p>
            </c:rich>
          </c:tx>
          <c:layout>
            <c:manualLayout>
              <c:xMode val="edge"/>
              <c:yMode val="edge"/>
              <c:x val="1.3961629379413074E-2"/>
              <c:y val="0.43652561247216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164864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7539382122910741"/>
          <c:y val="4.4543429844097995E-2"/>
          <c:w val="0.19546281131178303"/>
          <c:h val="8.6859688195991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Charge - Interrupt Cycle</a:t>
            </a:r>
          </a:p>
        </c:rich>
      </c:tx>
      <c:layout>
        <c:manualLayout>
          <c:xMode val="edge"/>
          <c:yMode val="edge"/>
          <c:x val="0.38105263157894737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63157894736842E-2"/>
          <c:y val="0.17288801571709234"/>
          <c:w val="0.84947368421052627"/>
          <c:h val="0.71709233791748528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SimSk!$R$33:$R$34</c:f>
              <c:strCache>
                <c:ptCount val="2"/>
                <c:pt idx="0">
                  <c:v>UL</c:v>
                </c:pt>
                <c:pt idx="1">
                  <c:v>[V]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SimSk!$P$35:$P$197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0.36824373378569053</c:v>
                </c:pt>
                <c:pt idx="2">
                  <c:v>0.73648746757138106</c:v>
                </c:pt>
                <c:pt idx="3">
                  <c:v>1.1047312013570718</c:v>
                </c:pt>
                <c:pt idx="4">
                  <c:v>1.4729749351427621</c:v>
                </c:pt>
                <c:pt idx="5">
                  <c:v>1.8412186689284527</c:v>
                </c:pt>
                <c:pt idx="6">
                  <c:v>2.2094624027141436</c:v>
                </c:pt>
                <c:pt idx="7">
                  <c:v>2.5777061364998337</c:v>
                </c:pt>
                <c:pt idx="8">
                  <c:v>2.9459498702855242</c:v>
                </c:pt>
                <c:pt idx="9">
                  <c:v>3.3141936040712148</c:v>
                </c:pt>
                <c:pt idx="10">
                  <c:v>3.6824373378569053</c:v>
                </c:pt>
                <c:pt idx="11">
                  <c:v>4.0506810716425958</c:v>
                </c:pt>
                <c:pt idx="12">
                  <c:v>4.4189248054282873</c:v>
                </c:pt>
                <c:pt idx="13">
                  <c:v>4.7871685392139778</c:v>
                </c:pt>
                <c:pt idx="14">
                  <c:v>5.1554122729996683</c:v>
                </c:pt>
                <c:pt idx="15">
                  <c:v>5.5236560067853597</c:v>
                </c:pt>
                <c:pt idx="16">
                  <c:v>5.8918997405710503</c:v>
                </c:pt>
                <c:pt idx="17">
                  <c:v>6.2601434743567417</c:v>
                </c:pt>
                <c:pt idx="18">
                  <c:v>6.6283872081424322</c:v>
                </c:pt>
                <c:pt idx="19">
                  <c:v>6.9966309419281236</c:v>
                </c:pt>
                <c:pt idx="20">
                  <c:v>7.3648746757138142</c:v>
                </c:pt>
                <c:pt idx="21">
                  <c:v>7.7331184094995056</c:v>
                </c:pt>
                <c:pt idx="22">
                  <c:v>8.1013621432851952</c:v>
                </c:pt>
                <c:pt idx="23">
                  <c:v>8.4696058770708866</c:v>
                </c:pt>
                <c:pt idx="24">
                  <c:v>8.8378496108565781</c:v>
                </c:pt>
                <c:pt idx="25">
                  <c:v>9.2060933446422677</c:v>
                </c:pt>
                <c:pt idx="26">
                  <c:v>9.5743370784279591</c:v>
                </c:pt>
                <c:pt idx="27">
                  <c:v>9.5743370784279591</c:v>
                </c:pt>
                <c:pt idx="28">
                  <c:v>9.6108333268822683</c:v>
                </c:pt>
                <c:pt idx="29">
                  <c:v>9.6473295753365758</c:v>
                </c:pt>
                <c:pt idx="30">
                  <c:v>9.6838258237908867</c:v>
                </c:pt>
                <c:pt idx="31">
                  <c:v>9.720322072245196</c:v>
                </c:pt>
                <c:pt idx="32">
                  <c:v>9.7568183206995052</c:v>
                </c:pt>
                <c:pt idx="33">
                  <c:v>9.7933145691538144</c:v>
                </c:pt>
                <c:pt idx="34">
                  <c:v>9.8298108176081236</c:v>
                </c:pt>
                <c:pt idx="35">
                  <c:v>9.8663070660624328</c:v>
                </c:pt>
                <c:pt idx="36">
                  <c:v>9.902803314516742</c:v>
                </c:pt>
                <c:pt idx="37">
                  <c:v>9.9392995629710512</c:v>
                </c:pt>
                <c:pt idx="38">
                  <c:v>9.9757958114253604</c:v>
                </c:pt>
                <c:pt idx="39">
                  <c:v>10.01229205987967</c:v>
                </c:pt>
                <c:pt idx="40">
                  <c:v>10.048788308333979</c:v>
                </c:pt>
                <c:pt idx="41">
                  <c:v>10.085284556788288</c:v>
                </c:pt>
                <c:pt idx="42">
                  <c:v>10.121780805242597</c:v>
                </c:pt>
                <c:pt idx="43">
                  <c:v>10.158277053696906</c:v>
                </c:pt>
                <c:pt idx="44">
                  <c:v>10.194773302151216</c:v>
                </c:pt>
                <c:pt idx="45">
                  <c:v>10.231269550605525</c:v>
                </c:pt>
                <c:pt idx="46">
                  <c:v>10.267765799059834</c:v>
                </c:pt>
                <c:pt idx="47">
                  <c:v>10.304262047514143</c:v>
                </c:pt>
                <c:pt idx="48">
                  <c:v>10.340758295968453</c:v>
                </c:pt>
                <c:pt idx="49">
                  <c:v>10.377254544422762</c:v>
                </c:pt>
                <c:pt idx="50">
                  <c:v>10.413750792877071</c:v>
                </c:pt>
                <c:pt idx="51">
                  <c:v>10.45024704133138</c:v>
                </c:pt>
                <c:pt idx="52">
                  <c:v>10.486743289785689</c:v>
                </c:pt>
                <c:pt idx="53">
                  <c:v>10.523239538239999</c:v>
                </c:pt>
                <c:pt idx="54">
                  <c:v>10.559735786694308</c:v>
                </c:pt>
                <c:pt idx="55">
                  <c:v>10.596232035148617</c:v>
                </c:pt>
                <c:pt idx="56">
                  <c:v>10.632728283602926</c:v>
                </c:pt>
                <c:pt idx="57">
                  <c:v>10.669224532057235</c:v>
                </c:pt>
                <c:pt idx="58">
                  <c:v>10.705720780511545</c:v>
                </c:pt>
                <c:pt idx="59">
                  <c:v>10.742217028965854</c:v>
                </c:pt>
                <c:pt idx="60">
                  <c:v>10.778713277420163</c:v>
                </c:pt>
                <c:pt idx="61">
                  <c:v>10.815209525874472</c:v>
                </c:pt>
                <c:pt idx="62">
                  <c:v>10.851705774328781</c:v>
                </c:pt>
                <c:pt idx="63">
                  <c:v>10.888202022783091</c:v>
                </c:pt>
                <c:pt idx="64">
                  <c:v>10.9246982712374</c:v>
                </c:pt>
                <c:pt idx="65">
                  <c:v>10.961194519691709</c:v>
                </c:pt>
                <c:pt idx="66">
                  <c:v>10.997690768146018</c:v>
                </c:pt>
                <c:pt idx="67">
                  <c:v>11.034187016600328</c:v>
                </c:pt>
                <c:pt idx="68">
                  <c:v>11.070683265054637</c:v>
                </c:pt>
                <c:pt idx="69">
                  <c:v>11.107179513508946</c:v>
                </c:pt>
                <c:pt idx="70">
                  <c:v>11.143675761963255</c:v>
                </c:pt>
                <c:pt idx="71">
                  <c:v>11.180172010417564</c:v>
                </c:pt>
                <c:pt idx="72">
                  <c:v>11.216668258871874</c:v>
                </c:pt>
                <c:pt idx="73">
                  <c:v>11.253164507326183</c:v>
                </c:pt>
                <c:pt idx="74">
                  <c:v>11.289660755780492</c:v>
                </c:pt>
                <c:pt idx="75">
                  <c:v>11.326157004234801</c:v>
                </c:pt>
                <c:pt idx="76">
                  <c:v>11.36265325268911</c:v>
                </c:pt>
                <c:pt idx="77">
                  <c:v>11.39914950114342</c:v>
                </c:pt>
                <c:pt idx="78">
                  <c:v>11.435645749597729</c:v>
                </c:pt>
                <c:pt idx="79">
                  <c:v>11.472141998052038</c:v>
                </c:pt>
                <c:pt idx="80">
                  <c:v>11.508638246506349</c:v>
                </c:pt>
                <c:pt idx="81">
                  <c:v>11.545134494960656</c:v>
                </c:pt>
                <c:pt idx="82">
                  <c:v>11.581630743414966</c:v>
                </c:pt>
                <c:pt idx="83">
                  <c:v>11.618126991869275</c:v>
                </c:pt>
                <c:pt idx="84">
                  <c:v>11.654623240323584</c:v>
                </c:pt>
                <c:pt idx="85">
                  <c:v>11.691119488777893</c:v>
                </c:pt>
                <c:pt idx="86">
                  <c:v>11.727615737232203</c:v>
                </c:pt>
                <c:pt idx="87">
                  <c:v>11.764111985686512</c:v>
                </c:pt>
                <c:pt idx="88">
                  <c:v>11.800608234140823</c:v>
                </c:pt>
                <c:pt idx="89">
                  <c:v>11.83710448259513</c:v>
                </c:pt>
                <c:pt idx="90">
                  <c:v>11.873600731049439</c:v>
                </c:pt>
                <c:pt idx="91">
                  <c:v>11.910096979503749</c:v>
                </c:pt>
                <c:pt idx="92">
                  <c:v>11.946593227958058</c:v>
                </c:pt>
                <c:pt idx="93">
                  <c:v>11.983089476412367</c:v>
                </c:pt>
                <c:pt idx="94">
                  <c:v>12.019585724866676</c:v>
                </c:pt>
                <c:pt idx="95">
                  <c:v>12.056081973320985</c:v>
                </c:pt>
                <c:pt idx="96">
                  <c:v>12.092578221775296</c:v>
                </c:pt>
                <c:pt idx="97">
                  <c:v>12.129074470229604</c:v>
                </c:pt>
                <c:pt idx="98">
                  <c:v>12.165570718683913</c:v>
                </c:pt>
                <c:pt idx="99">
                  <c:v>12.202066967138222</c:v>
                </c:pt>
                <c:pt idx="100">
                  <c:v>12.238563215592531</c:v>
                </c:pt>
                <c:pt idx="101">
                  <c:v>12.275059464046841</c:v>
                </c:pt>
                <c:pt idx="102">
                  <c:v>12.31155571250115</c:v>
                </c:pt>
                <c:pt idx="115">
                  <c:v>9.7933145691538144</c:v>
                </c:pt>
              </c:numCache>
            </c:numRef>
          </c:xVal>
          <c:yVal>
            <c:numRef>
              <c:f>SimSk!$R$35:$R$197</c:f>
              <c:numCache>
                <c:formatCode>General</c:formatCode>
                <c:ptCount val="163"/>
                <c:pt idx="0">
                  <c:v>60</c:v>
                </c:pt>
                <c:pt idx="1">
                  <c:v>56.836893032321008</c:v>
                </c:pt>
                <c:pt idx="2">
                  <c:v>53.840540159458342</c:v>
                </c:pt>
                <c:pt idx="3">
                  <c:v>51.002150364091953</c:v>
                </c:pt>
                <c:pt idx="4">
                  <c:v>48.313396077704105</c:v>
                </c:pt>
                <c:pt idx="5">
                  <c:v>45.766388748277095</c:v>
                </c:pt>
                <c:pt idx="6">
                  <c:v>43.353655696024084</c:v>
                </c:pt>
                <c:pt idx="7">
                  <c:v>41.068118189249923</c:v>
                </c:pt>
                <c:pt idx="8">
                  <c:v>38.903070676018579</c:v>
                </c:pt>
                <c:pt idx="9">
                  <c:v>36.852161110694858</c:v>
                </c:pt>
                <c:pt idx="10">
                  <c:v>34.909372317640404</c:v>
                </c:pt>
                <c:pt idx="11">
                  <c:v>33.069004337386602</c:v>
                </c:pt>
                <c:pt idx="12">
                  <c:v>31.325657703490023</c:v>
                </c:pt>
                <c:pt idx="13">
                  <c:v>29.674217601006081</c:v>
                </c:pt>
                <c:pt idx="14">
                  <c:v>28.109838860103334</c:v>
                </c:pt>
                <c:pt idx="15">
                  <c:v>26.627931740791215</c:v>
                </c:pt>
                <c:pt idx="16">
                  <c:v>25.224148467054938</c:v>
                </c:pt>
                <c:pt idx="17">
                  <c:v>23.894370470889758</c:v>
                </c:pt>
                <c:pt idx="18">
                  <c:v>22.634696308810174</c:v>
                </c:pt>
                <c:pt idx="19">
                  <c:v>21.441430215381917</c:v>
                </c:pt>
                <c:pt idx="20">
                  <c:v>20.311071260193966</c:v>
                </c:pt>
                <c:pt idx="21">
                  <c:v>19.240303076458218</c:v>
                </c:pt>
                <c:pt idx="22">
                  <c:v>18.225984131101551</c:v>
                </c:pt>
                <c:pt idx="23">
                  <c:v>17.265138507803314</c:v>
                </c:pt>
                <c:pt idx="24">
                  <c:v>16.354947175937056</c:v>
                </c:pt>
                <c:pt idx="25">
                  <c:v>15.492739719799919</c:v>
                </c:pt>
                <c:pt idx="26">
                  <c:v>14.675986503864307</c:v>
                </c:pt>
                <c:pt idx="27" formatCode="0.0">
                  <c:v>1.4675986503864307</c:v>
                </c:pt>
                <c:pt idx="28" formatCode="0.0">
                  <c:v>-16.102043973940312</c:v>
                </c:pt>
                <c:pt idx="29" formatCode="0.0">
                  <c:v>-33.324373298935498</c:v>
                </c:pt>
                <c:pt idx="30" formatCode="0.0">
                  <c:v>-49.930369798466273</c:v>
                </c:pt>
                <c:pt idx="31" formatCode="0.0">
                  <c:v>-65.662147973098513</c:v>
                </c:pt>
                <c:pt idx="32" formatCode="0.0">
                  <c:v>-80.276952859606709</c:v>
                </c:pt>
                <c:pt idx="33" formatCode="0.0">
                  <c:v>-93.550897167821631</c:v>
                </c:pt>
                <c:pt idx="34" formatCode="0.0">
                  <c:v>-105.28238165431554</c:v>
                </c:pt>
                <c:pt idx="35" formatCode="0.0">
                  <c:v>-115.29514663181295</c:v>
                </c:pt>
                <c:pt idx="36" formatCode="0.0">
                  <c:v>-123.44090859374934</c:v>
                </c:pt>
                <c:pt idx="37" formatCode="0.0">
                  <c:v>-129.601542705215</c:v>
                </c:pt>
                <c:pt idx="38" formatCode="0.0">
                  <c:v>-133.69077926439934</c:v>
                </c:pt>
                <c:pt idx="39" formatCode="0.0">
                  <c:v>-135.65539005384068</c:v>
                </c:pt>
                <c:pt idx="40" formatCode="0.0">
                  <c:v>-135.47584865288451</c:v>
                </c:pt>
                <c:pt idx="41" formatCode="0.0">
                  <c:v>-133.16645714174695</c:v>
                </c:pt>
                <c:pt idx="42" formatCode="0.0">
                  <c:v>-128.77494006087792</c:v>
                </c:pt>
                <c:pt idx="43" formatCode="0.0">
                  <c:v>-122.38151486389019</c:v>
                </c:pt>
                <c:pt idx="44" formatCode="0.0">
                  <c:v>-114.0974562867567</c:v>
                </c:pt>
                <c:pt idx="45" formatCode="0.0">
                  <c:v>-104.06317992257087</c:v>
                </c:pt>
                <c:pt idx="46" formatCode="0.0">
                  <c:v>-92.445877717886646</c:v>
                </c:pt>
                <c:pt idx="47" formatCode="0.0">
                  <c:v>-79.436744979051639</c:v>
                </c:pt>
                <c:pt idx="48" formatCode="0.0">
                  <c:v>-65.247844689892361</c:v>
                </c:pt>
                <c:pt idx="49" formatCode="0.0">
                  <c:v>-50.108660401416699</c:v>
                </c:pt>
                <c:pt idx="50" formatCode="0.0">
                  <c:v>-34.262393578036303</c:v>
                </c:pt>
                <c:pt idx="51" formatCode="0.0">
                  <c:v>-17.96206500492368</c:v>
                </c:pt>
                <c:pt idx="52" formatCode="0.0">
                  <c:v>-1.4664826238342048</c:v>
                </c:pt>
                <c:pt idx="53" formatCode="0.0">
                  <c:v>14.963860068284326</c:v>
                </c:pt>
                <c:pt idx="54" formatCode="0.0">
                  <c:v>31.070890174767335</c:v>
                </c:pt>
                <c:pt idx="55" formatCode="0.0">
                  <c:v>46.603001501374393</c:v>
                </c:pt>
                <c:pt idx="56" formatCode="0.0">
                  <c:v>61.31897728807526</c:v>
                </c:pt>
                <c:pt idx="57" formatCode="0.0">
                  <c:v>74.991728532824666</c:v>
                </c:pt>
                <c:pt idx="58" formatCode="0.0">
                  <c:v>87.411790096853139</c:v>
                </c:pt>
                <c:pt idx="59" formatCode="0.0">
                  <c:v>98.39052090017087</c:v>
                </c:pt>
                <c:pt idx="60" formatCode="0.0">
                  <c:v>107.76295945757848</c:v>
                </c:pt>
                <c:pt idx="61" formatCode="0.0">
                  <c:v>115.39029168737039</c:v>
                </c:pt>
                <c:pt idx="62" formatCode="0.0">
                  <c:v>121.16189425378131</c:v>
                </c:pt>
                <c:pt idx="63" formatCode="0.0">
                  <c:v>124.99692357704984</c:v>
                </c:pt>
                <c:pt idx="64" formatCode="0.0">
                  <c:v>126.84542795075456</c:v>
                </c:pt>
                <c:pt idx="65" formatCode="0.0">
                  <c:v>126.68896782758101</c:v>
                </c:pt>
                <c:pt idx="66" formatCode="0.0">
                  <c:v>124.5407371503494</c:v>
                </c:pt>
                <c:pt idx="67" formatCode="0.0">
                  <c:v>120.44518649099726</c:v>
                </c:pt>
                <c:pt idx="68" formatCode="0.0">
                  <c:v>114.47715659186696</c:v>
                </c:pt>
                <c:pt idx="69" formatCode="0.0">
                  <c:v>106.74053855820212</c:v>
                </c:pt>
                <c:pt idx="70" formatCode="0.0">
                  <c:v>97.366484308767809</c:v>
                </c:pt>
                <c:pt idx="71" formatCode="0.0">
                  <c:v>86.511197838831094</c:v>
                </c:pt>
                <c:pt idx="72" formatCode="0.0">
                  <c:v>74.353344279303442</c:v>
                </c:pt>
                <c:pt idx="73" formatCode="0.0">
                  <c:v>61.091119549297972</c:v>
                </c:pt>
                <c:pt idx="74" formatCode="0.0">
                  <c:v>46.939028508553669</c:v>
                </c:pt>
                <c:pt idx="75" formatCode="0.0">
                  <c:v>32.124423844539955</c:v>
                </c:pt>
                <c:pt idx="76" formatCode="0.0">
                  <c:v>16.883861412675831</c:v>
                </c:pt>
                <c:pt idx="77" formatCode="0.0">
                  <c:v>1.4593303367130206</c:v>
                </c:pt>
                <c:pt idx="78" formatCode="0.0">
                  <c:v>-13.905582165984949</c:v>
                </c:pt>
                <c:pt idx="79" formatCode="0.0">
                  <c:v>-28.969530563872187</c:v>
                </c:pt>
                <c:pt idx="80" formatCode="0.0">
                  <c:v>-43.497194977322678</c:v>
                </c:pt>
                <c:pt idx="81" formatCode="0.0">
                  <c:v>-57.262950114653819</c:v>
                </c:pt>
                <c:pt idx="82" formatCode="0.0">
                  <c:v>-70.0543620875561</c:v>
                </c:pt>
                <c:pt idx="83" formatCode="0.0">
                  <c:v>-81.675459028203662</c:v>
                </c:pt>
                <c:pt idx="84" formatCode="0.0">
                  <c:v>-91.949725277542399</c:v>
                </c:pt>
                <c:pt idx="85" formatCode="0.0">
                  <c:v>-100.72277353091286</c:v>
                </c:pt>
                <c:pt idx="86" formatCode="0.0">
                  <c:v>-107.86465463655014</c:v>
                </c:pt>
                <c:pt idx="87" formatCode="0.0">
                  <c:v>-113.2717706573825</c:v>
                </c:pt>
                <c:pt idx="88" formatCode="0.0">
                  <c:v>-116.86836323065984</c:v>
                </c:pt>
                <c:pt idx="89" formatCode="0.0">
                  <c:v>-118.60755608951354</c:v>
                </c:pt>
                <c:pt idx="90" formatCode="0.0">
                  <c:v>-118.47193773598984</c:v>
                </c:pt>
                <c:pt idx="91" formatCode="0.0">
                  <c:v>-116.47367756275892</c:v>
                </c:pt>
                <c:pt idx="92" formatCode="0.0">
                  <c:v>-112.65417609466445</c:v>
                </c:pt>
                <c:pt idx="93" formatCode="0.0">
                  <c:v>-107.08325734521088</c:v>
                </c:pt>
                <c:pt idx="94" formatCode="0.0">
                  <c:v>-99.85791844206156</c:v>
                </c:pt>
                <c:pt idx="95" formatCode="0.0">
                  <c:v>-91.100658557923126</c:v>
                </c:pt>
                <c:pt idx="96" formatCode="0.0">
                  <c:v>-80.957415682057999</c:v>
                </c:pt>
                <c:pt idx="97" formatCode="0.0">
                  <c:v>-69.595145782927588</c:v>
                </c:pt>
                <c:pt idx="98" formatCode="0.0">
                  <c:v>-57.19908435210926</c:v>
                </c:pt>
                <c:pt idx="99" formatCode="0.0">
                  <c:v>-43.969735101169718</c:v>
                </c:pt>
                <c:pt idx="100" formatCode="0.0">
                  <c:v>-30.1196346349364</c:v>
                </c:pt>
                <c:pt idx="101" formatCode="0.0">
                  <c:v>-15.869945186765849</c:v>
                </c:pt>
                <c:pt idx="102" formatCode="0.0">
                  <c:v>-1.4469299268805731</c:v>
                </c:pt>
                <c:pt idx="115" formatCode="0.000">
                  <c:v>-45.338584006205082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A-4AD2-B011-442FC4788CFC}"/>
            </c:ext>
          </c:extLst>
        </c:ser>
        <c:ser>
          <c:idx val="2"/>
          <c:order val="2"/>
          <c:tx>
            <c:strRef>
              <c:f>SimSk!$S$33:$S$34</c:f>
              <c:strCache>
                <c:ptCount val="2"/>
                <c:pt idx="0">
                  <c:v>Uc</c:v>
                </c:pt>
                <c:pt idx="1">
                  <c:v>[V]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SimSk!$P$35:$P$197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0.36824373378569053</c:v>
                </c:pt>
                <c:pt idx="2">
                  <c:v>0.73648746757138106</c:v>
                </c:pt>
                <c:pt idx="3">
                  <c:v>1.1047312013570718</c:v>
                </c:pt>
                <c:pt idx="4">
                  <c:v>1.4729749351427621</c:v>
                </c:pt>
                <c:pt idx="5">
                  <c:v>1.8412186689284527</c:v>
                </c:pt>
                <c:pt idx="6">
                  <c:v>2.2094624027141436</c:v>
                </c:pt>
                <c:pt idx="7">
                  <c:v>2.5777061364998337</c:v>
                </c:pt>
                <c:pt idx="8">
                  <c:v>2.9459498702855242</c:v>
                </c:pt>
                <c:pt idx="9">
                  <c:v>3.3141936040712148</c:v>
                </c:pt>
                <c:pt idx="10">
                  <c:v>3.6824373378569053</c:v>
                </c:pt>
                <c:pt idx="11">
                  <c:v>4.0506810716425958</c:v>
                </c:pt>
                <c:pt idx="12">
                  <c:v>4.4189248054282873</c:v>
                </c:pt>
                <c:pt idx="13">
                  <c:v>4.7871685392139778</c:v>
                </c:pt>
                <c:pt idx="14">
                  <c:v>5.1554122729996683</c:v>
                </c:pt>
                <c:pt idx="15">
                  <c:v>5.5236560067853597</c:v>
                </c:pt>
                <c:pt idx="16">
                  <c:v>5.8918997405710503</c:v>
                </c:pt>
                <c:pt idx="17">
                  <c:v>6.2601434743567417</c:v>
                </c:pt>
                <c:pt idx="18">
                  <c:v>6.6283872081424322</c:v>
                </c:pt>
                <c:pt idx="19">
                  <c:v>6.9966309419281236</c:v>
                </c:pt>
                <c:pt idx="20">
                  <c:v>7.3648746757138142</c:v>
                </c:pt>
                <c:pt idx="21">
                  <c:v>7.7331184094995056</c:v>
                </c:pt>
                <c:pt idx="22">
                  <c:v>8.1013621432851952</c:v>
                </c:pt>
                <c:pt idx="23">
                  <c:v>8.4696058770708866</c:v>
                </c:pt>
                <c:pt idx="24">
                  <c:v>8.8378496108565781</c:v>
                </c:pt>
                <c:pt idx="25">
                  <c:v>9.2060933446422677</c:v>
                </c:pt>
                <c:pt idx="26">
                  <c:v>9.5743370784279591</c:v>
                </c:pt>
                <c:pt idx="27">
                  <c:v>9.5743370784279591</c:v>
                </c:pt>
                <c:pt idx="28">
                  <c:v>9.6108333268822683</c:v>
                </c:pt>
                <c:pt idx="29">
                  <c:v>9.6473295753365758</c:v>
                </c:pt>
                <c:pt idx="30">
                  <c:v>9.6838258237908867</c:v>
                </c:pt>
                <c:pt idx="31">
                  <c:v>9.720322072245196</c:v>
                </c:pt>
                <c:pt idx="32">
                  <c:v>9.7568183206995052</c:v>
                </c:pt>
                <c:pt idx="33">
                  <c:v>9.7933145691538144</c:v>
                </c:pt>
                <c:pt idx="34">
                  <c:v>9.8298108176081236</c:v>
                </c:pt>
                <c:pt idx="35">
                  <c:v>9.8663070660624328</c:v>
                </c:pt>
                <c:pt idx="36">
                  <c:v>9.902803314516742</c:v>
                </c:pt>
                <c:pt idx="37">
                  <c:v>9.9392995629710512</c:v>
                </c:pt>
                <c:pt idx="38">
                  <c:v>9.9757958114253604</c:v>
                </c:pt>
                <c:pt idx="39">
                  <c:v>10.01229205987967</c:v>
                </c:pt>
                <c:pt idx="40">
                  <c:v>10.048788308333979</c:v>
                </c:pt>
                <c:pt idx="41">
                  <c:v>10.085284556788288</c:v>
                </c:pt>
                <c:pt idx="42">
                  <c:v>10.121780805242597</c:v>
                </c:pt>
                <c:pt idx="43">
                  <c:v>10.158277053696906</c:v>
                </c:pt>
                <c:pt idx="44">
                  <c:v>10.194773302151216</c:v>
                </c:pt>
                <c:pt idx="45">
                  <c:v>10.231269550605525</c:v>
                </c:pt>
                <c:pt idx="46">
                  <c:v>10.267765799059834</c:v>
                </c:pt>
                <c:pt idx="47">
                  <c:v>10.304262047514143</c:v>
                </c:pt>
                <c:pt idx="48">
                  <c:v>10.340758295968453</c:v>
                </c:pt>
                <c:pt idx="49">
                  <c:v>10.377254544422762</c:v>
                </c:pt>
                <c:pt idx="50">
                  <c:v>10.413750792877071</c:v>
                </c:pt>
                <c:pt idx="51">
                  <c:v>10.45024704133138</c:v>
                </c:pt>
                <c:pt idx="52">
                  <c:v>10.486743289785689</c:v>
                </c:pt>
                <c:pt idx="53">
                  <c:v>10.523239538239999</c:v>
                </c:pt>
                <c:pt idx="54">
                  <c:v>10.559735786694308</c:v>
                </c:pt>
                <c:pt idx="55">
                  <c:v>10.596232035148617</c:v>
                </c:pt>
                <c:pt idx="56">
                  <c:v>10.632728283602926</c:v>
                </c:pt>
                <c:pt idx="57">
                  <c:v>10.669224532057235</c:v>
                </c:pt>
                <c:pt idx="58">
                  <c:v>10.705720780511545</c:v>
                </c:pt>
                <c:pt idx="59">
                  <c:v>10.742217028965854</c:v>
                </c:pt>
                <c:pt idx="60">
                  <c:v>10.778713277420163</c:v>
                </c:pt>
                <c:pt idx="61">
                  <c:v>10.815209525874472</c:v>
                </c:pt>
                <c:pt idx="62">
                  <c:v>10.851705774328781</c:v>
                </c:pt>
                <c:pt idx="63">
                  <c:v>10.888202022783091</c:v>
                </c:pt>
                <c:pt idx="64">
                  <c:v>10.9246982712374</c:v>
                </c:pt>
                <c:pt idx="65">
                  <c:v>10.961194519691709</c:v>
                </c:pt>
                <c:pt idx="66">
                  <c:v>10.997690768146018</c:v>
                </c:pt>
                <c:pt idx="67">
                  <c:v>11.034187016600328</c:v>
                </c:pt>
                <c:pt idx="68">
                  <c:v>11.070683265054637</c:v>
                </c:pt>
                <c:pt idx="69">
                  <c:v>11.107179513508946</c:v>
                </c:pt>
                <c:pt idx="70">
                  <c:v>11.143675761963255</c:v>
                </c:pt>
                <c:pt idx="71">
                  <c:v>11.180172010417564</c:v>
                </c:pt>
                <c:pt idx="72">
                  <c:v>11.216668258871874</c:v>
                </c:pt>
                <c:pt idx="73">
                  <c:v>11.253164507326183</c:v>
                </c:pt>
                <c:pt idx="74">
                  <c:v>11.289660755780492</c:v>
                </c:pt>
                <c:pt idx="75">
                  <c:v>11.326157004234801</c:v>
                </c:pt>
                <c:pt idx="76">
                  <c:v>11.36265325268911</c:v>
                </c:pt>
                <c:pt idx="77">
                  <c:v>11.39914950114342</c:v>
                </c:pt>
                <c:pt idx="78">
                  <c:v>11.435645749597729</c:v>
                </c:pt>
                <c:pt idx="79">
                  <c:v>11.472141998052038</c:v>
                </c:pt>
                <c:pt idx="80">
                  <c:v>11.508638246506349</c:v>
                </c:pt>
                <c:pt idx="81">
                  <c:v>11.545134494960656</c:v>
                </c:pt>
                <c:pt idx="82">
                  <c:v>11.581630743414966</c:v>
                </c:pt>
                <c:pt idx="83">
                  <c:v>11.618126991869275</c:v>
                </c:pt>
                <c:pt idx="84">
                  <c:v>11.654623240323584</c:v>
                </c:pt>
                <c:pt idx="85">
                  <c:v>11.691119488777893</c:v>
                </c:pt>
                <c:pt idx="86">
                  <c:v>11.727615737232203</c:v>
                </c:pt>
                <c:pt idx="87">
                  <c:v>11.764111985686512</c:v>
                </c:pt>
                <c:pt idx="88">
                  <c:v>11.800608234140823</c:v>
                </c:pt>
                <c:pt idx="89">
                  <c:v>11.83710448259513</c:v>
                </c:pt>
                <c:pt idx="90">
                  <c:v>11.873600731049439</c:v>
                </c:pt>
                <c:pt idx="91">
                  <c:v>11.910096979503749</c:v>
                </c:pt>
                <c:pt idx="92">
                  <c:v>11.946593227958058</c:v>
                </c:pt>
                <c:pt idx="93">
                  <c:v>11.983089476412367</c:v>
                </c:pt>
                <c:pt idx="94">
                  <c:v>12.019585724866676</c:v>
                </c:pt>
                <c:pt idx="95">
                  <c:v>12.056081973320985</c:v>
                </c:pt>
                <c:pt idx="96">
                  <c:v>12.092578221775296</c:v>
                </c:pt>
                <c:pt idx="97">
                  <c:v>12.129074470229604</c:v>
                </c:pt>
                <c:pt idx="98">
                  <c:v>12.165570718683913</c:v>
                </c:pt>
                <c:pt idx="99">
                  <c:v>12.202066967138222</c:v>
                </c:pt>
                <c:pt idx="100">
                  <c:v>12.238563215592531</c:v>
                </c:pt>
                <c:pt idx="101">
                  <c:v>12.275059464046841</c:v>
                </c:pt>
                <c:pt idx="102">
                  <c:v>12.31155571250115</c:v>
                </c:pt>
                <c:pt idx="115">
                  <c:v>9.7933145691538144</c:v>
                </c:pt>
              </c:numCache>
            </c:numRef>
          </c:xVal>
          <c:yVal>
            <c:numRef>
              <c:f>SimSk!$S$35:$S$197</c:f>
              <c:numCache>
                <c:formatCode>General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0.0">
                  <c:v>0</c:v>
                </c:pt>
                <c:pt idx="28" formatCode="0.0">
                  <c:v>17.601400236564178</c:v>
                </c:pt>
                <c:pt idx="29" formatCode="0.0">
                  <c:v>34.926104856427635</c:v>
                </c:pt>
                <c:pt idx="30" formatCode="0.0">
                  <c:v>51.703106104861831</c:v>
                </c:pt>
                <c:pt idx="31" formatCode="0.0">
                  <c:v>67.671461469419427</c:v>
                </c:pt>
                <c:pt idx="32" formatCode="0.0">
                  <c:v>82.58434399268171</c:v>
                </c:pt>
                <c:pt idx="33" formatCode="0.0">
                  <c:v>96.212848888298097</c:v>
                </c:pt>
                <c:pt idx="34" formatCode="0.0">
                  <c:v>108.34949789310748</c:v>
                </c:pt>
                <c:pt idx="35" formatCode="0.0">
                  <c:v>118.81138785576914</c:v>
                </c:pt>
                <c:pt idx="36" formatCode="0.0">
                  <c:v>127.44293594429809</c:v>
                </c:pt>
                <c:pt idx="37" formatCode="0.0">
                  <c:v>134.11818045432864</c:v>
                </c:pt>
                <c:pt idx="38" formatCode="0.0">
                  <c:v>138.74260340917542</c:v>
                </c:pt>
                <c:pt idx="39" formatCode="0.0">
                  <c:v>141.25444884517509</c:v>
                </c:pt>
                <c:pt idx="40" formatCode="0.0">
                  <c:v>141.62551874758219</c:v>
                </c:pt>
                <c:pt idx="41" formatCode="0.0">
                  <c:v>139.86143691453307</c:v>
                </c:pt>
                <c:pt idx="42" formatCode="0.0">
                  <c:v>136.00137944724878</c:v>
                </c:pt>
                <c:pt idx="43" formatCode="0.0">
                  <c:v>130.11727896070613</c:v>
                </c:pt>
                <c:pt idx="44" formatCode="0.0">
                  <c:v>122.31251784853623</c:v>
                </c:pt>
                <c:pt idx="45" formatCode="0.0">
                  <c:v>112.72013389015629</c:v>
                </c:pt>
                <c:pt idx="46" formatCode="0.0">
                  <c:v>101.50056903352535</c:v>
                </c:pt>
                <c:pt idx="47" formatCode="0.0">
                  <c:v>88.838999206948372</c:v>
                </c:pt>
                <c:pt idx="48" formatCode="0.0">
                  <c:v>74.942289400434419</c:v>
                </c:pt>
                <c:pt idx="49" formatCode="0.0">
                  <c:v>60.03562391417482</c:v>
                </c:pt>
                <c:pt idx="50" formatCode="0.0">
                  <c:v>44.35886651367742</c:v>
                </c:pt>
                <c:pt idx="51" formatCode="0.0">
                  <c:v>28.16270918618104</c:v>
                </c:pt>
                <c:pt idx="52" formatCode="0.0">
                  <c:v>11.704671203718002</c:v>
                </c:pt>
                <c:pt idx="53" formatCode="0.0">
                  <c:v>-4.7549877777011389</c:v>
                </c:pt>
                <c:pt idx="54" formatCode="0.0">
                  <c:v>-20.957375842397781</c:v>
                </c:pt>
                <c:pt idx="55" formatCode="0.0">
                  <c:v>-36.649033435208409</c:v>
                </c:pt>
                <c:pt idx="56" formatCode="0.0">
                  <c:v>-51.585890780670105</c:v>
                </c:pt>
                <c:pt idx="57" formatCode="0.0">
                  <c:v>-65.537056431418065</c:v>
                </c:pt>
                <c:pt idx="58" formatCode="0.0">
                  <c:v>-78.288378262197185</c:v>
                </c:pt>
                <c:pt idx="59" formatCode="0.0">
                  <c:v>-89.645722119091957</c:v>
                </c:pt>
                <c:pt idx="60" formatCode="0.0">
                  <c:v>-99.437918067703919</c:v>
                </c:pt>
                <c:pt idx="61" formatCode="0.0">
                  <c:v>-107.51932968008761</c:v>
                </c:pt>
                <c:pt idx="62" formatCode="0.0">
                  <c:v>-113.77200796777669</c:v>
                </c:pt>
                <c:pt idx="63" formatCode="0.0">
                  <c:v>-118.10739830658709</c:v>
                </c:pt>
                <c:pt idx="64" formatCode="0.0">
                  <c:v>-120.46757589903974</c:v>
                </c:pt>
                <c:pt idx="65" formatCode="0.0">
                  <c:v>-120.82599286647753</c:v>
                </c:pt>
                <c:pt idx="66" formatCode="0.0">
                  <c:v>-119.18772783472237</c:v>
                </c:pt>
                <c:pt idx="67" formatCode="0.0">
                  <c:v>-115.5892367509806</c:v>
                </c:pt>
                <c:pt idx="68" formatCode="0.0">
                  <c:v>-110.09761152127108</c:v>
                </c:pt>
                <c:pt idx="69" formatCode="0.0">
                  <c:v>-102.80936076354506</c:v>
                </c:pt>
                <c:pt idx="70" formatCode="0.0">
                  <c:v>-93.8487344114736</c:v>
                </c:pt>
                <c:pt idx="71" formatCode="0.0">
                  <c:v>-83.365620961998573</c:v>
                </c:pt>
                <c:pt idx="72" formatCode="0.0">
                  <c:v>-71.533052727215789</c:v>
                </c:pt>
                <c:pt idx="73" formatCode="0.0">
                  <c:v>-58.544360427307836</c:v>
                </c:pt>
                <c:pt idx="74" formatCode="0.0">
                  <c:v>-44.610023755244434</c:v>
                </c:pt>
                <c:pt idx="75" formatCode="0.0">
                  <c:v>-29.954269076203779</c:v>
                </c:pt>
                <c:pt idx="76" formatCode="0.0">
                  <c:v>-14.811469127932972</c:v>
                </c:pt>
                <c:pt idx="77" formatCode="0.0">
                  <c:v>0.57759759124888888</c:v>
                </c:pt>
                <c:pt idx="78" formatCode="0.0">
                  <c:v>15.969568162031626</c:v>
                </c:pt>
                <c:pt idx="79" formatCode="0.0">
                  <c:v>31.122336775766392</c:v>
                </c:pt>
                <c:pt idx="80" formatCode="0.0">
                  <c:v>45.79885592915106</c:v>
                </c:pt>
                <c:pt idx="81" formatCode="0.0">
                  <c:v>59.770837711371108</c:v>
                </c:pt>
                <c:pt idx="82" formatCode="0.0">
                  <c:v>72.822297503396456</c:v>
                </c:pt>
                <c:pt idx="83" formatCode="0.0">
                  <c:v>84.752885196505716</c:v>
                </c:pt>
                <c:pt idx="84" formatCode="0.0">
                  <c:v>95.380952672940964</c:v>
                </c:pt>
                <c:pt idx="85" formatCode="0.0">
                  <c:v>104.54631071414451</c:v>
                </c:pt>
                <c:pt idx="86" formatCode="0.0">
                  <c:v>112.1126336375409</c:v>
                </c:pt>
                <c:pt idx="87" formatCode="0.0">
                  <c:v>117.96947572669879</c:v>
                </c:pt>
                <c:pt idx="88" formatCode="0.0">
                  <c:v>122.03386981792666</c:v>
                </c:pt>
                <c:pt idx="89" formatCode="0.0">
                  <c:v>124.25148513699979</c:v>
                </c:pt>
                <c:pt idx="90" formatCode="0.0">
                  <c:v>124.59732853460547</c:v>
                </c:pt>
                <c:pt idx="91" formatCode="0.0">
                  <c:v>123.07598053553417</c:v>
                </c:pt>
                <c:pt idx="92" formatCode="0.0">
                  <c:v>119.72136497921301</c:v>
                </c:pt>
                <c:pt idx="93" formatCode="0.0">
                  <c:v>114.59605837155908</c:v>
                </c:pt>
                <c:pt idx="94" formatCode="0.0">
                  <c:v>107.79015227494915</c:v>
                </c:pt>
                <c:pt idx="95" formatCode="0.0">
                  <c:v>99.419689021731486</c:v>
                </c:pt>
                <c:pt idx="96" formatCode="0.0">
                  <c:v>89.624697639029606</c:v>
                </c:pt>
                <c:pt idx="97" formatCode="0.0">
                  <c:v>78.566863016664882</c:v>
                </c:pt>
                <c:pt idx="98" formatCode="0.0">
                  <c:v>66.426866941678554</c:v>
                </c:pt>
                <c:pt idx="99" formatCode="0.0">
                  <c:v>53.401444577167297</c:v>
                </c:pt>
                <c:pt idx="100" formatCode="0.0">
                  <c:v>39.700204205455428</c:v>
                </c:pt>
                <c:pt idx="101" formatCode="0.0">
                  <c:v>25.542261523094695</c:v>
                </c:pt>
                <c:pt idx="102" formatCode="0.0">
                  <c:v>11.152742417420891</c:v>
                </c:pt>
                <c:pt idx="104" formatCode="0.0">
                  <c:v>0</c:v>
                </c:pt>
                <c:pt idx="115" formatCode="0.0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CA-4AD2-B011-442FC4788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34304"/>
        <c:axId val="177236224"/>
      </c:scatterChart>
      <c:scatterChart>
        <c:scatterStyle val="lineMarker"/>
        <c:varyColors val="0"/>
        <c:ser>
          <c:idx val="0"/>
          <c:order val="0"/>
          <c:tx>
            <c:strRef>
              <c:f>SimSk!$Q$33:$Q$34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SimSk!$P$35:$P$197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0.36824373378569053</c:v>
                </c:pt>
                <c:pt idx="2">
                  <c:v>0.73648746757138106</c:v>
                </c:pt>
                <c:pt idx="3">
                  <c:v>1.1047312013570718</c:v>
                </c:pt>
                <c:pt idx="4">
                  <c:v>1.4729749351427621</c:v>
                </c:pt>
                <c:pt idx="5">
                  <c:v>1.8412186689284527</c:v>
                </c:pt>
                <c:pt idx="6">
                  <c:v>2.2094624027141436</c:v>
                </c:pt>
                <c:pt idx="7">
                  <c:v>2.5777061364998337</c:v>
                </c:pt>
                <c:pt idx="8">
                  <c:v>2.9459498702855242</c:v>
                </c:pt>
                <c:pt idx="9">
                  <c:v>3.3141936040712148</c:v>
                </c:pt>
                <c:pt idx="10">
                  <c:v>3.6824373378569053</c:v>
                </c:pt>
                <c:pt idx="11">
                  <c:v>4.0506810716425958</c:v>
                </c:pt>
                <c:pt idx="12">
                  <c:v>4.4189248054282873</c:v>
                </c:pt>
                <c:pt idx="13">
                  <c:v>4.7871685392139778</c:v>
                </c:pt>
                <c:pt idx="14">
                  <c:v>5.1554122729996683</c:v>
                </c:pt>
                <c:pt idx="15">
                  <c:v>5.5236560067853597</c:v>
                </c:pt>
                <c:pt idx="16">
                  <c:v>5.8918997405710503</c:v>
                </c:pt>
                <c:pt idx="17">
                  <c:v>6.2601434743567417</c:v>
                </c:pt>
                <c:pt idx="18">
                  <c:v>6.6283872081424322</c:v>
                </c:pt>
                <c:pt idx="19">
                  <c:v>6.9966309419281236</c:v>
                </c:pt>
                <c:pt idx="20">
                  <c:v>7.3648746757138142</c:v>
                </c:pt>
                <c:pt idx="21">
                  <c:v>7.7331184094995056</c:v>
                </c:pt>
                <c:pt idx="22">
                  <c:v>8.1013621432851952</c:v>
                </c:pt>
                <c:pt idx="23">
                  <c:v>8.4696058770708866</c:v>
                </c:pt>
                <c:pt idx="24">
                  <c:v>8.8378496108565781</c:v>
                </c:pt>
                <c:pt idx="25">
                  <c:v>9.2060933446422677</c:v>
                </c:pt>
                <c:pt idx="26">
                  <c:v>9.5743370784279591</c:v>
                </c:pt>
                <c:pt idx="27">
                  <c:v>9.5743370784279591</c:v>
                </c:pt>
                <c:pt idx="28">
                  <c:v>9.6108333268822683</c:v>
                </c:pt>
                <c:pt idx="29">
                  <c:v>9.6473295753365758</c:v>
                </c:pt>
                <c:pt idx="30">
                  <c:v>9.6838258237908867</c:v>
                </c:pt>
                <c:pt idx="31">
                  <c:v>9.720322072245196</c:v>
                </c:pt>
                <c:pt idx="32">
                  <c:v>9.7568183206995052</c:v>
                </c:pt>
                <c:pt idx="33">
                  <c:v>9.7933145691538144</c:v>
                </c:pt>
                <c:pt idx="34">
                  <c:v>9.8298108176081236</c:v>
                </c:pt>
                <c:pt idx="35">
                  <c:v>9.8663070660624328</c:v>
                </c:pt>
                <c:pt idx="36">
                  <c:v>9.902803314516742</c:v>
                </c:pt>
                <c:pt idx="37">
                  <c:v>9.9392995629710512</c:v>
                </c:pt>
                <c:pt idx="38">
                  <c:v>9.9757958114253604</c:v>
                </c:pt>
                <c:pt idx="39">
                  <c:v>10.01229205987967</c:v>
                </c:pt>
                <c:pt idx="40">
                  <c:v>10.048788308333979</c:v>
                </c:pt>
                <c:pt idx="41">
                  <c:v>10.085284556788288</c:v>
                </c:pt>
                <c:pt idx="42">
                  <c:v>10.121780805242597</c:v>
                </c:pt>
                <c:pt idx="43">
                  <c:v>10.158277053696906</c:v>
                </c:pt>
                <c:pt idx="44">
                  <c:v>10.194773302151216</c:v>
                </c:pt>
                <c:pt idx="45">
                  <c:v>10.231269550605525</c:v>
                </c:pt>
                <c:pt idx="46">
                  <c:v>10.267765799059834</c:v>
                </c:pt>
                <c:pt idx="47">
                  <c:v>10.304262047514143</c:v>
                </c:pt>
                <c:pt idx="48">
                  <c:v>10.340758295968453</c:v>
                </c:pt>
                <c:pt idx="49">
                  <c:v>10.377254544422762</c:v>
                </c:pt>
                <c:pt idx="50">
                  <c:v>10.413750792877071</c:v>
                </c:pt>
                <c:pt idx="51">
                  <c:v>10.45024704133138</c:v>
                </c:pt>
                <c:pt idx="52">
                  <c:v>10.486743289785689</c:v>
                </c:pt>
                <c:pt idx="53">
                  <c:v>10.523239538239999</c:v>
                </c:pt>
                <c:pt idx="54">
                  <c:v>10.559735786694308</c:v>
                </c:pt>
                <c:pt idx="55">
                  <c:v>10.596232035148617</c:v>
                </c:pt>
                <c:pt idx="56">
                  <c:v>10.632728283602926</c:v>
                </c:pt>
                <c:pt idx="57">
                  <c:v>10.669224532057235</c:v>
                </c:pt>
                <c:pt idx="58">
                  <c:v>10.705720780511545</c:v>
                </c:pt>
                <c:pt idx="59">
                  <c:v>10.742217028965854</c:v>
                </c:pt>
                <c:pt idx="60">
                  <c:v>10.778713277420163</c:v>
                </c:pt>
                <c:pt idx="61">
                  <c:v>10.815209525874472</c:v>
                </c:pt>
                <c:pt idx="62">
                  <c:v>10.851705774328781</c:v>
                </c:pt>
                <c:pt idx="63">
                  <c:v>10.888202022783091</c:v>
                </c:pt>
                <c:pt idx="64">
                  <c:v>10.9246982712374</c:v>
                </c:pt>
                <c:pt idx="65">
                  <c:v>10.961194519691709</c:v>
                </c:pt>
                <c:pt idx="66">
                  <c:v>10.997690768146018</c:v>
                </c:pt>
                <c:pt idx="67">
                  <c:v>11.034187016600328</c:v>
                </c:pt>
                <c:pt idx="68">
                  <c:v>11.070683265054637</c:v>
                </c:pt>
                <c:pt idx="69">
                  <c:v>11.107179513508946</c:v>
                </c:pt>
                <c:pt idx="70">
                  <c:v>11.143675761963255</c:v>
                </c:pt>
                <c:pt idx="71">
                  <c:v>11.180172010417564</c:v>
                </c:pt>
                <c:pt idx="72">
                  <c:v>11.216668258871874</c:v>
                </c:pt>
                <c:pt idx="73">
                  <c:v>11.253164507326183</c:v>
                </c:pt>
                <c:pt idx="74">
                  <c:v>11.289660755780492</c:v>
                </c:pt>
                <c:pt idx="75">
                  <c:v>11.326157004234801</c:v>
                </c:pt>
                <c:pt idx="76">
                  <c:v>11.36265325268911</c:v>
                </c:pt>
                <c:pt idx="77">
                  <c:v>11.39914950114342</c:v>
                </c:pt>
                <c:pt idx="78">
                  <c:v>11.435645749597729</c:v>
                </c:pt>
                <c:pt idx="79">
                  <c:v>11.472141998052038</c:v>
                </c:pt>
                <c:pt idx="80">
                  <c:v>11.508638246506349</c:v>
                </c:pt>
                <c:pt idx="81">
                  <c:v>11.545134494960656</c:v>
                </c:pt>
                <c:pt idx="82">
                  <c:v>11.581630743414966</c:v>
                </c:pt>
                <c:pt idx="83">
                  <c:v>11.618126991869275</c:v>
                </c:pt>
                <c:pt idx="84">
                  <c:v>11.654623240323584</c:v>
                </c:pt>
                <c:pt idx="85">
                  <c:v>11.691119488777893</c:v>
                </c:pt>
                <c:pt idx="86">
                  <c:v>11.727615737232203</c:v>
                </c:pt>
                <c:pt idx="87">
                  <c:v>11.764111985686512</c:v>
                </c:pt>
                <c:pt idx="88">
                  <c:v>11.800608234140823</c:v>
                </c:pt>
                <c:pt idx="89">
                  <c:v>11.83710448259513</c:v>
                </c:pt>
                <c:pt idx="90">
                  <c:v>11.873600731049439</c:v>
                </c:pt>
                <c:pt idx="91">
                  <c:v>11.910096979503749</c:v>
                </c:pt>
                <c:pt idx="92">
                  <c:v>11.946593227958058</c:v>
                </c:pt>
                <c:pt idx="93">
                  <c:v>11.983089476412367</c:v>
                </c:pt>
                <c:pt idx="94">
                  <c:v>12.019585724866676</c:v>
                </c:pt>
                <c:pt idx="95">
                  <c:v>12.056081973320985</c:v>
                </c:pt>
                <c:pt idx="96">
                  <c:v>12.092578221775296</c:v>
                </c:pt>
                <c:pt idx="97">
                  <c:v>12.129074470229604</c:v>
                </c:pt>
                <c:pt idx="98">
                  <c:v>12.165570718683913</c:v>
                </c:pt>
                <c:pt idx="99">
                  <c:v>12.202066967138222</c:v>
                </c:pt>
                <c:pt idx="100">
                  <c:v>12.238563215592531</c:v>
                </c:pt>
                <c:pt idx="101">
                  <c:v>12.275059464046841</c:v>
                </c:pt>
                <c:pt idx="102">
                  <c:v>12.31155571250115</c:v>
                </c:pt>
                <c:pt idx="115">
                  <c:v>9.7933145691538144</c:v>
                </c:pt>
              </c:numCache>
            </c:numRef>
          </c:xVal>
          <c:yVal>
            <c:numRef>
              <c:f>SimSk!$Q$35:$Q$197</c:f>
              <c:numCache>
                <c:formatCode>General</c:formatCode>
                <c:ptCount val="163"/>
                <c:pt idx="0">
                  <c:v>0</c:v>
                </c:pt>
                <c:pt idx="1">
                  <c:v>0.25123955725181407</c:v>
                </c:pt>
                <c:pt idx="2">
                  <c:v>0.48923415460196462</c:v>
                </c:pt>
                <c:pt idx="3">
                  <c:v>0.71468204579964489</c:v>
                </c:pt>
                <c:pt idx="4">
                  <c:v>0.92824467373905983</c:v>
                </c:pt>
                <c:pt idx="5">
                  <c:v>1.1305486110706249</c:v>
                </c:pt>
                <c:pt idx="6">
                  <c:v>1.3221873985061507</c:v>
                </c:pt>
                <c:pt idx="7">
                  <c:v>1.5037232862114287</c:v>
                </c:pt>
                <c:pt idx="8">
                  <c:v>1.6756888833953005</c:v>
                </c:pt>
                <c:pt idx="9">
                  <c:v>1.8385887209349498</c:v>
                </c:pt>
                <c:pt idx="10">
                  <c:v>1.992900731622008</c:v>
                </c:pt>
                <c:pt idx="11">
                  <c:v>2.1390776523723862</c:v>
                </c:pt>
                <c:pt idx="12">
                  <c:v>2.277548352513775</c:v>
                </c:pt>
                <c:pt idx="13">
                  <c:v>2.4087190920478871</c:v>
                </c:pt>
                <c:pt idx="14">
                  <c:v>2.5329747135790663</c:v>
                </c:pt>
                <c:pt idx="15">
                  <c:v>2.6506797714062702</c:v>
                </c:pt>
                <c:pt idx="16">
                  <c:v>2.7621796010910682</c:v>
                </c:pt>
                <c:pt idx="17">
                  <c:v>2.867801332639683</c:v>
                </c:pt>
                <c:pt idx="18">
                  <c:v>2.9678548502716362</c:v>
                </c:pt>
                <c:pt idx="19">
                  <c:v>3.0626337015908818</c:v>
                </c:pt>
                <c:pt idx="20">
                  <c:v>3.1524159588268517</c:v>
                </c:pt>
                <c:pt idx="21">
                  <c:v>3.2374650346722058</c:v>
                </c:pt>
                <c:pt idx="22">
                  <c:v>3.3180304551108728</c:v>
                </c:pt>
                <c:pt idx="23">
                  <c:v>3.3943485915038156</c:v>
                </c:pt>
                <c:pt idx="24">
                  <c:v>3.466643354080345</c:v>
                </c:pt>
                <c:pt idx="25">
                  <c:v>3.5351268488696652</c:v>
                </c:pt>
                <c:pt idx="26">
                  <c:v>3.600000000000001</c:v>
                </c:pt>
                <c:pt idx="27" formatCode="0.0">
                  <c:v>3.600000000000001</c:v>
                </c:pt>
                <c:pt idx="28" formatCode="0.0">
                  <c:v>3.5747755339309246</c:v>
                </c:pt>
                <c:pt idx="29" formatCode="0.0">
                  <c:v>3.4934607885902</c:v>
                </c:pt>
                <c:pt idx="30" formatCode="0.0">
                  <c:v>3.3576349760538089</c:v>
                </c:pt>
                <c:pt idx="31" formatCode="0.0">
                  <c:v>3.1697262234884769</c:v>
                </c:pt>
                <c:pt idx="32" formatCode="0.0">
                  <c:v>2.9329688382656967</c:v>
                </c:pt>
                <c:pt idx="33" formatCode="0.0">
                  <c:v>2.6513481219639328</c:v>
                </c:pt>
                <c:pt idx="34" formatCode="0.0">
                  <c:v>2.3295336678975329</c:v>
                </c:pt>
                <c:pt idx="35" formatCode="0.0">
                  <c:v>1.9728022529425953</c:v>
                </c:pt>
                <c:pt idx="36" formatCode="0.0">
                  <c:v>1.5869515921483381</c:v>
                </c:pt>
                <c:pt idx="37" formatCode="0.0">
                  <c:v>1.1782063615452314</c:v>
                </c:pt>
                <c:pt idx="38" formatCode="0.0">
                  <c:v>0.75311800864615797</c:v>
                </c:pt>
                <c:pt idx="39" formatCode="0.0">
                  <c:v>0.31845995971191182</c:v>
                </c:pt>
                <c:pt idx="40" formatCode="0.0">
                  <c:v>-0.11888010336012451</c:v>
                </c:pt>
                <c:pt idx="41" formatCode="0.0">
                  <c:v>-0.55200918653051767</c:v>
                </c:pt>
                <c:pt idx="42" formatCode="0.0">
                  <c:v>-0.97413742746138121</c:v>
                </c:pt>
                <c:pt idx="43" formatCode="0.0">
                  <c:v>-1.3786843367413086</c:v>
                </c:pt>
                <c:pt idx="44" formatCode="0.0">
                  <c:v>-1.7593811772839132</c:v>
                </c:pt>
                <c:pt idx="45" formatCode="0.0">
                  <c:v>-2.1103678923145277</c:v>
                </c:pt>
                <c:pt idx="46" formatCode="0.0">
                  <c:v>-2.4262830866108018</c:v>
                </c:pt>
                <c:pt idx="47" formatCode="0.0">
                  <c:v>-2.7023456829286538</c:v>
                </c:pt>
                <c:pt idx="48" formatCode="0.0">
                  <c:v>-2.9344270138577615</c:v>
                </c:pt>
                <c:pt idx="49" formatCode="0.0">
                  <c:v>-3.1191122664224222</c:v>
                </c:pt>
                <c:pt idx="50" formatCode="0.0">
                  <c:v>-3.2537503700031705</c:v>
                </c:pt>
                <c:pt idx="51" formatCode="0.0">
                  <c:v>-3.3364916047904334</c:v>
                </c:pt>
                <c:pt idx="52" formatCode="0.0">
                  <c:v>-3.3663124049864912</c:v>
                </c:pt>
                <c:pt idx="53" formatCode="0.0">
                  <c:v>-3.3430270351921352</c:v>
                </c:pt>
                <c:pt idx="54" formatCode="0.0">
                  <c:v>-3.2672860265988963</c:v>
                </c:pt>
                <c:pt idx="55" formatCode="0.0">
                  <c:v>-3.1405614684611209</c:v>
                </c:pt>
                <c:pt idx="56" formatCode="0.0">
                  <c:v>-2.9651194565557089</c:v>
                </c:pt>
                <c:pt idx="57" formatCode="0.0">
                  <c:v>-2.7439802007216594</c:v>
                </c:pt>
                <c:pt idx="58" formatCode="0.0">
                  <c:v>-2.4808664849859579</c:v>
                </c:pt>
                <c:pt idx="59" formatCode="0.0">
                  <c:v>-2.1801413532644394</c:v>
                </c:pt>
                <c:pt idx="60" formatCode="0.0">
                  <c:v>-1.8467360584168095</c:v>
                </c:pt>
                <c:pt idx="61" formatCode="0.0">
                  <c:v>-1.4860694600208584</c:v>
                </c:pt>
                <c:pt idx="62" formatCode="0.0">
                  <c:v>-1.1039601843828892</c:v>
                </c:pt>
                <c:pt idx="63" formatCode="0.0">
                  <c:v>-0.70653296710781555</c:v>
                </c:pt>
                <c:pt idx="64" formatCode="0.0">
                  <c:v>-0.30012068244779422</c:v>
                </c:pt>
                <c:pt idx="65" formatCode="0.0">
                  <c:v>0.1088363765643917</c:v>
                </c:pt>
                <c:pt idx="66" formatCode="0.0">
                  <c:v>0.51389236832286955</c:v>
                </c:pt>
                <c:pt idx="67" formatCode="0.0">
                  <c:v>0.90869731478903626</c:v>
                </c:pt>
                <c:pt idx="68" formatCode="0.0">
                  <c:v>1.2870964629714876</c:v>
                </c:pt>
                <c:pt idx="69" formatCode="0.0">
                  <c:v>1.6432260439313477</c:v>
                </c:pt>
                <c:pt idx="70" formatCode="0.0">
                  <c:v>1.9716039424669913</c:v>
                </c:pt>
                <c:pt idx="71" formatCode="0.0">
                  <c:v>2.2672138786383225</c:v>
                </c:pt>
                <c:pt idx="72" formatCode="0.0">
                  <c:v>2.5255818118270574</c:v>
                </c:pt>
                <c:pt idx="73" formatCode="0.0">
                  <c:v>2.7428434072581505</c:v>
                </c:pt>
                <c:pt idx="74" formatCode="0.0">
                  <c:v>2.9158015516903664</c:v>
                </c:pt>
                <c:pt idx="75" formatCode="0.0">
                  <c:v>3.041973066918553</c:v>
                </c:pt>
                <c:pt idx="76" formatCode="0.0">
                  <c:v>3.1196239441882674</c:v>
                </c:pt>
                <c:pt idx="77" formatCode="0.0">
                  <c:v>3.147792606794086</c:v>
                </c:pt>
                <c:pt idx="78" formatCode="0.0">
                  <c:v>3.1263008990675698</c:v>
                </c:pt>
                <c:pt idx="79" formatCode="0.0">
                  <c:v>3.0557526946199722</c:v>
                </c:pt>
                <c:pt idx="80" formatCode="0.0">
                  <c:v>2.9375202120070343</c:v>
                </c:pt>
                <c:pt idx="81" formatCode="0.0">
                  <c:v>2.7737183188531183</c:v>
                </c:pt>
                <c:pt idx="82" formatCode="0.0">
                  <c:v>2.5671672928891764</c:v>
                </c:pt>
                <c:pt idx="83" formatCode="0.0">
                  <c:v>2.3213446874049741</c:v>
                </c:pt>
                <c:pt idx="84" formatCode="0.0">
                  <c:v>2.04032711651928</c:v>
                </c:pt>
                <c:pt idx="85" formatCode="0.0">
                  <c:v>1.7287229298513203</c:v>
                </c:pt>
                <c:pt idx="86" formatCode="0.0">
                  <c:v>1.3915968842810111</c:v>
                </c:pt>
                <c:pt idx="87" formatCode="0.0">
                  <c:v>1.0343880404283023</c:v>
                </c:pt>
                <c:pt idx="88" formatCode="0.0">
                  <c:v>0.66282221147419085</c:v>
                </c:pt>
                <c:pt idx="89" formatCode="0.0">
                  <c:v>0.28282037052141989</c:v>
                </c:pt>
                <c:pt idx="90" formatCode="0.0">
                  <c:v>-9.959552126926173E-2</c:v>
                </c:pt>
                <c:pt idx="91" formatCode="0.0">
                  <c:v>-0.47839777079224688</c:v>
                </c:pt>
                <c:pt idx="92" formatCode="0.0">
                  <c:v>-0.84764778933409746</c:v>
                </c:pt>
                <c:pt idx="93" formatCode="0.0">
                  <c:v>-1.2015890197627466</c:v>
                </c:pt>
                <c:pt idx="94" formatCode="0.0">
                  <c:v>-1.5347365031978908</c:v>
                </c:pt>
                <c:pt idx="95" formatCode="0.0">
                  <c:v>-1.8419616944165602</c:v>
                </c:pt>
                <c:pt idx="96" formatCode="0.0">
                  <c:v>-2.1185712174224056</c:v>
                </c:pt>
                <c:pt idx="97" formatCode="0.0">
                  <c:v>-2.3603783549235766</c:v>
                </c:pt>
                <c:pt idx="98" formatCode="0.0">
                  <c:v>-2.5637661862050627</c:v>
                </c:pt>
                <c:pt idx="99" formatCode="0.0">
                  <c:v>-2.7257414250493532</c:v>
                </c:pt>
                <c:pt idx="100" formatCode="0.0">
                  <c:v>-2.8439781607088941</c:v>
                </c:pt>
                <c:pt idx="101" formatCode="0.0">
                  <c:v>-2.9168508680086358</c:v>
                </c:pt>
                <c:pt idx="102" formatCode="0.0">
                  <c:v>-2.9434562248293816</c:v>
                </c:pt>
                <c:pt idx="115" formatCode="0.000">
                  <c:v>2.6513481219639328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CA-4AD2-B011-442FC4788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54784"/>
        <c:axId val="177256320"/>
      </c:scatterChart>
      <c:valAx>
        <c:axId val="177234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time [ms]</a:t>
                </a:r>
              </a:p>
            </c:rich>
          </c:tx>
          <c:layout>
            <c:manualLayout>
              <c:xMode val="edge"/>
              <c:yMode val="edge"/>
              <c:x val="0.4589473684210526"/>
              <c:y val="0.94302554027504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236224"/>
        <c:crossesAt val="-100000"/>
        <c:crossBetween val="midCat"/>
      </c:valAx>
      <c:valAx>
        <c:axId val="17723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 [V]</a:t>
                </a:r>
              </a:p>
            </c:rich>
          </c:tx>
          <c:layout>
            <c:manualLayout>
              <c:xMode val="edge"/>
              <c:yMode val="edge"/>
              <c:x val="9.4736842105263164E-3"/>
              <c:y val="0.50098231827111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234304"/>
        <c:crosses val="autoZero"/>
        <c:crossBetween val="midCat"/>
      </c:valAx>
      <c:valAx>
        <c:axId val="17725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256320"/>
        <c:crosses val="autoZero"/>
        <c:crossBetween val="midCat"/>
      </c:valAx>
      <c:valAx>
        <c:axId val="1772563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0.9357894736842105"/>
              <c:y val="0.50491159135559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254784"/>
        <c:crosses val="max"/>
        <c:crossBetween val="midCat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8105263157894733"/>
          <c:y val="2.1611001964636542E-2"/>
          <c:w val="7.4736842105263157E-2"/>
          <c:h val="0.11394891944990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Primärstrom &amp; Sekundärspannung</a:t>
            </a:r>
          </a:p>
        </c:rich>
      </c:tx>
      <c:layout>
        <c:manualLayout>
          <c:xMode val="edge"/>
          <c:yMode val="edge"/>
          <c:x val="0.24385655778938536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670756910479"/>
          <c:y val="0.25906735751295334"/>
          <c:w val="0.68998173328004386"/>
          <c:h val="0.55181347150259064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SimSk!$L$79:$L$80</c:f>
              <c:strCache>
                <c:ptCount val="2"/>
                <c:pt idx="0">
                  <c:v>Usec</c:v>
                </c:pt>
                <c:pt idx="1">
                  <c:v>[kV]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SimSk!$H$81:$H$156</c:f>
              <c:numCache>
                <c:formatCode>General</c:formatCode>
                <c:ptCount val="76"/>
                <c:pt idx="0">
                  <c:v>0</c:v>
                </c:pt>
                <c:pt idx="1">
                  <c:v>3.6496248454309194E-5</c:v>
                </c:pt>
                <c:pt idx="2">
                  <c:v>7.2992496908618387E-5</c:v>
                </c:pt>
                <c:pt idx="3">
                  <c:v>1.0948874536292758E-4</c:v>
                </c:pt>
                <c:pt idx="4">
                  <c:v>1.4598499381723677E-4</c:v>
                </c:pt>
                <c:pt idx="5">
                  <c:v>1.8248124227154597E-4</c:v>
                </c:pt>
                <c:pt idx="6">
                  <c:v>2.1897749072585516E-4</c:v>
                </c:pt>
                <c:pt idx="7">
                  <c:v>2.5547373918016433E-4</c:v>
                </c:pt>
                <c:pt idx="8">
                  <c:v>2.9196998763447355E-4</c:v>
                </c:pt>
                <c:pt idx="9">
                  <c:v>3.2846623608878277E-4</c:v>
                </c:pt>
                <c:pt idx="10">
                  <c:v>3.6496248454309199E-4</c:v>
                </c:pt>
                <c:pt idx="11">
                  <c:v>4.0145873299740121E-4</c:v>
                </c:pt>
                <c:pt idx="12">
                  <c:v>4.3795498145171043E-4</c:v>
                </c:pt>
                <c:pt idx="13">
                  <c:v>4.7445122990601965E-4</c:v>
                </c:pt>
                <c:pt idx="14">
                  <c:v>5.1094747836032887E-4</c:v>
                </c:pt>
                <c:pt idx="15">
                  <c:v>5.4744372681463809E-4</c:v>
                </c:pt>
                <c:pt idx="16">
                  <c:v>5.8393997526894731E-4</c:v>
                </c:pt>
                <c:pt idx="17">
                  <c:v>6.2043622372325653E-4</c:v>
                </c:pt>
                <c:pt idx="18">
                  <c:v>6.5693247217756576E-4</c:v>
                </c:pt>
                <c:pt idx="19">
                  <c:v>6.9342872063187498E-4</c:v>
                </c:pt>
                <c:pt idx="20">
                  <c:v>7.299249690861842E-4</c:v>
                </c:pt>
                <c:pt idx="21">
                  <c:v>7.6642121754049342E-4</c:v>
                </c:pt>
                <c:pt idx="22">
                  <c:v>8.0291746599480264E-4</c:v>
                </c:pt>
                <c:pt idx="23">
                  <c:v>8.3941371444911186E-4</c:v>
                </c:pt>
                <c:pt idx="24">
                  <c:v>8.7590996290342108E-4</c:v>
                </c:pt>
                <c:pt idx="25">
                  <c:v>9.124062113577303E-4</c:v>
                </c:pt>
                <c:pt idx="26">
                  <c:v>9.4890245981203952E-4</c:v>
                </c:pt>
                <c:pt idx="27">
                  <c:v>9.8539870826634874E-4</c:v>
                </c:pt>
                <c:pt idx="28">
                  <c:v>1.021894956720658E-3</c:v>
                </c:pt>
                <c:pt idx="29">
                  <c:v>1.0583912051749672E-3</c:v>
                </c:pt>
                <c:pt idx="30">
                  <c:v>1.0948874536292764E-3</c:v>
                </c:pt>
                <c:pt idx="31">
                  <c:v>1.1313837020835856E-3</c:v>
                </c:pt>
                <c:pt idx="32">
                  <c:v>1.1678799505378948E-3</c:v>
                </c:pt>
                <c:pt idx="33">
                  <c:v>1.2043761989922041E-3</c:v>
                </c:pt>
                <c:pt idx="34">
                  <c:v>1.2408724474465133E-3</c:v>
                </c:pt>
                <c:pt idx="35">
                  <c:v>1.2773686959008225E-3</c:v>
                </c:pt>
                <c:pt idx="36">
                  <c:v>1.3138649443551317E-3</c:v>
                </c:pt>
                <c:pt idx="37">
                  <c:v>1.3503611928094409E-3</c:v>
                </c:pt>
                <c:pt idx="38">
                  <c:v>1.3868574412637502E-3</c:v>
                </c:pt>
                <c:pt idx="39">
                  <c:v>1.4233536897180594E-3</c:v>
                </c:pt>
                <c:pt idx="40">
                  <c:v>1.4598499381723686E-3</c:v>
                </c:pt>
                <c:pt idx="41">
                  <c:v>1.4963461866266778E-3</c:v>
                </c:pt>
                <c:pt idx="42">
                  <c:v>1.5328424350809871E-3</c:v>
                </c:pt>
                <c:pt idx="43">
                  <c:v>1.5693386835352963E-3</c:v>
                </c:pt>
                <c:pt idx="44">
                  <c:v>1.6058349319896055E-3</c:v>
                </c:pt>
                <c:pt idx="45">
                  <c:v>1.6423311804439147E-3</c:v>
                </c:pt>
                <c:pt idx="46">
                  <c:v>1.6788274288982239E-3</c:v>
                </c:pt>
                <c:pt idx="47">
                  <c:v>1.7153236773525332E-3</c:v>
                </c:pt>
                <c:pt idx="48">
                  <c:v>1.7518199258068424E-3</c:v>
                </c:pt>
                <c:pt idx="49">
                  <c:v>1.7883161742611516E-3</c:v>
                </c:pt>
                <c:pt idx="50">
                  <c:v>1.8248124227154608E-3</c:v>
                </c:pt>
                <c:pt idx="51">
                  <c:v>1.86130867116977E-3</c:v>
                </c:pt>
                <c:pt idx="52">
                  <c:v>1.8978049196240793E-3</c:v>
                </c:pt>
                <c:pt idx="53">
                  <c:v>1.9343011680783885E-3</c:v>
                </c:pt>
                <c:pt idx="54">
                  <c:v>1.9707974165326975E-3</c:v>
                </c:pt>
                <c:pt idx="55">
                  <c:v>2.0072936649870067E-3</c:v>
                </c:pt>
                <c:pt idx="56">
                  <c:v>2.0437899134413159E-3</c:v>
                </c:pt>
                <c:pt idx="57">
                  <c:v>2.0802861618956251E-3</c:v>
                </c:pt>
                <c:pt idx="58">
                  <c:v>2.1167824103499344E-3</c:v>
                </c:pt>
                <c:pt idx="59">
                  <c:v>2.1532786588042436E-3</c:v>
                </c:pt>
                <c:pt idx="60">
                  <c:v>2.1897749072585528E-3</c:v>
                </c:pt>
                <c:pt idx="61">
                  <c:v>2.226271155712862E-3</c:v>
                </c:pt>
                <c:pt idx="62">
                  <c:v>2.2627674041671712E-3</c:v>
                </c:pt>
                <c:pt idx="63">
                  <c:v>2.2992636526214805E-3</c:v>
                </c:pt>
                <c:pt idx="64">
                  <c:v>2.3357599010757897E-3</c:v>
                </c:pt>
                <c:pt idx="65">
                  <c:v>2.3722561495300989E-3</c:v>
                </c:pt>
                <c:pt idx="66">
                  <c:v>2.4087523979844081E-3</c:v>
                </c:pt>
                <c:pt idx="67">
                  <c:v>2.4452486464387174E-3</c:v>
                </c:pt>
                <c:pt idx="68">
                  <c:v>2.4817448948930266E-3</c:v>
                </c:pt>
                <c:pt idx="69">
                  <c:v>2.5182411433473358E-3</c:v>
                </c:pt>
                <c:pt idx="70">
                  <c:v>2.554737391801645E-3</c:v>
                </c:pt>
                <c:pt idx="71">
                  <c:v>2.5912336402559542E-3</c:v>
                </c:pt>
                <c:pt idx="72">
                  <c:v>2.6277298887102635E-3</c:v>
                </c:pt>
                <c:pt idx="73">
                  <c:v>2.6642261371645727E-3</c:v>
                </c:pt>
                <c:pt idx="74">
                  <c:v>2.7007223856188819E-3</c:v>
                </c:pt>
                <c:pt idx="75">
                  <c:v>2.7372186340731911E-3</c:v>
                </c:pt>
              </c:numCache>
            </c:numRef>
          </c:xVal>
          <c:yVal>
            <c:numRef>
              <c:f>SimSk!$L$81:$L$156</c:f>
              <c:numCache>
                <c:formatCode>General</c:formatCode>
                <c:ptCount val="76"/>
                <c:pt idx="0">
                  <c:v>-0.29645492737805901</c:v>
                </c:pt>
                <c:pt idx="1">
                  <c:v>3.2526128827359431</c:v>
                </c:pt>
                <c:pt idx="2">
                  <c:v>6.7315234063849712</c:v>
                </c:pt>
                <c:pt idx="3">
                  <c:v>10.085934699290188</c:v>
                </c:pt>
                <c:pt idx="4">
                  <c:v>13.2637538905659</c:v>
                </c:pt>
                <c:pt idx="5">
                  <c:v>16.215944477640555</c:v>
                </c:pt>
                <c:pt idx="6">
                  <c:v>18.89728122789997</c:v>
                </c:pt>
                <c:pt idx="7">
                  <c:v>21.267041094171741</c:v>
                </c:pt>
                <c:pt idx="8">
                  <c:v>23.289619619626219</c:v>
                </c:pt>
                <c:pt idx="9">
                  <c:v>24.935063535937367</c:v>
                </c:pt>
                <c:pt idx="10">
                  <c:v>26.179511626453429</c:v>
                </c:pt>
                <c:pt idx="11">
                  <c:v>27.005537411408667</c:v>
                </c:pt>
                <c:pt idx="12">
                  <c:v>27.402388790875818</c:v>
                </c:pt>
                <c:pt idx="13">
                  <c:v>27.366121427882671</c:v>
                </c:pt>
                <c:pt idx="14">
                  <c:v>26.899624342632883</c:v>
                </c:pt>
                <c:pt idx="15">
                  <c:v>26.012537892297342</c:v>
                </c:pt>
                <c:pt idx="16">
                  <c:v>24.721066002505818</c:v>
                </c:pt>
                <c:pt idx="17">
                  <c:v>23.047686169924855</c:v>
                </c:pt>
                <c:pt idx="18">
                  <c:v>21.020762344359316</c:v>
                </c:pt>
                <c:pt idx="19">
                  <c:v>18.674067299013103</c:v>
                </c:pt>
                <c:pt idx="20">
                  <c:v>16.046222485768432</c:v>
                </c:pt>
                <c:pt idx="21">
                  <c:v>13.180064627358258</c:v>
                </c:pt>
                <c:pt idx="22">
                  <c:v>10.121949401086175</c:v>
                </c:pt>
                <c:pt idx="23">
                  <c:v>6.9210035027633339</c:v>
                </c:pt>
                <c:pt idx="24">
                  <c:v>3.6283371309945838</c:v>
                </c:pt>
                <c:pt idx="25">
                  <c:v>0.29622949001450938</c:v>
                </c:pt>
                <c:pt idx="26">
                  <c:v>-3.0226997337934343</c:v>
                </c:pt>
                <c:pt idx="27">
                  <c:v>-6.276319815303002</c:v>
                </c:pt>
                <c:pt idx="28">
                  <c:v>-9.413806303277628</c:v>
                </c:pt>
                <c:pt idx="29">
                  <c:v>-12.386433412191204</c:v>
                </c:pt>
                <c:pt idx="30">
                  <c:v>-15.148329163630583</c:v>
                </c:pt>
                <c:pt idx="31">
                  <c:v>-17.657181599564336</c:v>
                </c:pt>
                <c:pt idx="32">
                  <c:v>-19.874885221834518</c:v>
                </c:pt>
                <c:pt idx="33">
                  <c:v>-21.768117810430855</c:v>
                </c:pt>
                <c:pt idx="34">
                  <c:v>-23.308838920848821</c:v>
                </c:pt>
                <c:pt idx="35">
                  <c:v>-24.474702639263828</c:v>
                </c:pt>
                <c:pt idx="36">
                  <c:v>-25.249378562564068</c:v>
                </c:pt>
                <c:pt idx="37">
                  <c:v>-25.622776446052423</c:v>
                </c:pt>
                <c:pt idx="38">
                  <c:v>-25.591171501171367</c:v>
                </c:pt>
                <c:pt idx="39">
                  <c:v>-25.15722890437058</c:v>
                </c:pt>
                <c:pt idx="40">
                  <c:v>-24.329927671181448</c:v>
                </c:pt>
                <c:pt idx="41">
                  <c:v>-23.124385631557129</c:v>
                </c:pt>
                <c:pt idx="42">
                  <c:v>-21.561588788756829</c:v>
                </c:pt>
                <c:pt idx="43">
                  <c:v>-19.668029830371097</c:v>
                </c:pt>
                <c:pt idx="44">
                  <c:v>-17.475261963443881</c:v>
                </c:pt>
                <c:pt idx="45">
                  <c:v>-15.019375544419296</c:v>
                </c:pt>
                <c:pt idx="46">
                  <c:v>-12.340406148958191</c:v>
                </c:pt>
                <c:pt idx="47">
                  <c:v>-9.4816837587278417</c:v>
                </c:pt>
                <c:pt idx="48">
                  <c:v>-6.489133616597071</c:v>
                </c:pt>
                <c:pt idx="49">
                  <c:v>-3.4105400053605179</c:v>
                </c:pt>
                <c:pt idx="50">
                  <c:v>-0.29478472801603017</c:v>
                </c:pt>
                <c:pt idx="51">
                  <c:v>2.8089275975289598</c:v>
                </c:pt>
                <c:pt idx="52">
                  <c:v>5.8518451739021824</c:v>
                </c:pt>
                <c:pt idx="53">
                  <c:v>8.7864333854191816</c:v>
                </c:pt>
                <c:pt idx="54">
                  <c:v>11.567115923160072</c:v>
                </c:pt>
                <c:pt idx="55">
                  <c:v>14.150981141686334</c:v>
                </c:pt>
                <c:pt idx="56">
                  <c:v>16.498442723697142</c:v>
                </c:pt>
                <c:pt idx="57">
                  <c:v>18.573844506063566</c:v>
                </c:pt>
                <c:pt idx="58">
                  <c:v>20.346000253244398</c:v>
                </c:pt>
                <c:pt idx="59">
                  <c:v>21.78866023658313</c:v>
                </c:pt>
                <c:pt idx="60">
                  <c:v>22.880897672791267</c:v>
                </c:pt>
                <c:pt idx="61">
                  <c:v>23.607409372593288</c:v>
                </c:pt>
                <c:pt idx="62">
                  <c:v>23.958726330081735</c:v>
                </c:pt>
                <c:pt idx="63">
                  <c:v>23.931331422669949</c:v>
                </c:pt>
                <c:pt idx="64">
                  <c:v>23.527682867677303</c:v>
                </c:pt>
                <c:pt idx="65">
                  <c:v>22.75614357112222</c:v>
                </c:pt>
                <c:pt idx="66">
                  <c:v>21.630817983732598</c:v>
                </c:pt>
                <c:pt idx="67">
                  <c:v>20.171299525296437</c:v>
                </c:pt>
                <c:pt idx="68">
                  <c:v>18.402333028700472</c:v>
                </c:pt>
                <c:pt idx="69">
                  <c:v>16.353397967775717</c:v>
                </c:pt>
                <c:pt idx="70">
                  <c:v>14.058219448151373</c:v>
                </c:pt>
                <c:pt idx="71">
                  <c:v>11.554215039126071</c:v>
                </c:pt>
                <c:pt idx="72">
                  <c:v>8.8818864904362833</c:v>
                </c:pt>
                <c:pt idx="73">
                  <c:v>6.0841661962571534</c:v>
                </c:pt>
                <c:pt idx="74">
                  <c:v>3.2057289277267018</c:v>
                </c:pt>
                <c:pt idx="75">
                  <c:v>0.29227984522987577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E9-43C4-BA90-73E4040E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45280"/>
        <c:axId val="177347584"/>
      </c:scatterChart>
      <c:scatterChart>
        <c:scatterStyle val="lineMarker"/>
        <c:varyColors val="0"/>
        <c:ser>
          <c:idx val="0"/>
          <c:order val="0"/>
          <c:tx>
            <c:strRef>
              <c:f>SimSk!$I$79:$I$80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SimSk!$H$81:$H$156</c:f>
              <c:numCache>
                <c:formatCode>General</c:formatCode>
                <c:ptCount val="76"/>
                <c:pt idx="0">
                  <c:v>0</c:v>
                </c:pt>
                <c:pt idx="1">
                  <c:v>3.6496248454309194E-5</c:v>
                </c:pt>
                <c:pt idx="2">
                  <c:v>7.2992496908618387E-5</c:v>
                </c:pt>
                <c:pt idx="3">
                  <c:v>1.0948874536292758E-4</c:v>
                </c:pt>
                <c:pt idx="4">
                  <c:v>1.4598499381723677E-4</c:v>
                </c:pt>
                <c:pt idx="5">
                  <c:v>1.8248124227154597E-4</c:v>
                </c:pt>
                <c:pt idx="6">
                  <c:v>2.1897749072585516E-4</c:v>
                </c:pt>
                <c:pt idx="7">
                  <c:v>2.5547373918016433E-4</c:v>
                </c:pt>
                <c:pt idx="8">
                  <c:v>2.9196998763447355E-4</c:v>
                </c:pt>
                <c:pt idx="9">
                  <c:v>3.2846623608878277E-4</c:v>
                </c:pt>
                <c:pt idx="10">
                  <c:v>3.6496248454309199E-4</c:v>
                </c:pt>
                <c:pt idx="11">
                  <c:v>4.0145873299740121E-4</c:v>
                </c:pt>
                <c:pt idx="12">
                  <c:v>4.3795498145171043E-4</c:v>
                </c:pt>
                <c:pt idx="13">
                  <c:v>4.7445122990601965E-4</c:v>
                </c:pt>
                <c:pt idx="14">
                  <c:v>5.1094747836032887E-4</c:v>
                </c:pt>
                <c:pt idx="15">
                  <c:v>5.4744372681463809E-4</c:v>
                </c:pt>
                <c:pt idx="16">
                  <c:v>5.8393997526894731E-4</c:v>
                </c:pt>
                <c:pt idx="17">
                  <c:v>6.2043622372325653E-4</c:v>
                </c:pt>
                <c:pt idx="18">
                  <c:v>6.5693247217756576E-4</c:v>
                </c:pt>
                <c:pt idx="19">
                  <c:v>6.9342872063187498E-4</c:v>
                </c:pt>
                <c:pt idx="20">
                  <c:v>7.299249690861842E-4</c:v>
                </c:pt>
                <c:pt idx="21">
                  <c:v>7.6642121754049342E-4</c:v>
                </c:pt>
                <c:pt idx="22">
                  <c:v>8.0291746599480264E-4</c:v>
                </c:pt>
                <c:pt idx="23">
                  <c:v>8.3941371444911186E-4</c:v>
                </c:pt>
                <c:pt idx="24">
                  <c:v>8.7590996290342108E-4</c:v>
                </c:pt>
                <c:pt idx="25">
                  <c:v>9.124062113577303E-4</c:v>
                </c:pt>
                <c:pt idx="26">
                  <c:v>9.4890245981203952E-4</c:v>
                </c:pt>
                <c:pt idx="27">
                  <c:v>9.8539870826634874E-4</c:v>
                </c:pt>
                <c:pt idx="28">
                  <c:v>1.021894956720658E-3</c:v>
                </c:pt>
                <c:pt idx="29">
                  <c:v>1.0583912051749672E-3</c:v>
                </c:pt>
                <c:pt idx="30">
                  <c:v>1.0948874536292764E-3</c:v>
                </c:pt>
                <c:pt idx="31">
                  <c:v>1.1313837020835856E-3</c:v>
                </c:pt>
                <c:pt idx="32">
                  <c:v>1.1678799505378948E-3</c:v>
                </c:pt>
                <c:pt idx="33">
                  <c:v>1.2043761989922041E-3</c:v>
                </c:pt>
                <c:pt idx="34">
                  <c:v>1.2408724474465133E-3</c:v>
                </c:pt>
                <c:pt idx="35">
                  <c:v>1.2773686959008225E-3</c:v>
                </c:pt>
                <c:pt idx="36">
                  <c:v>1.3138649443551317E-3</c:v>
                </c:pt>
                <c:pt idx="37">
                  <c:v>1.3503611928094409E-3</c:v>
                </c:pt>
                <c:pt idx="38">
                  <c:v>1.3868574412637502E-3</c:v>
                </c:pt>
                <c:pt idx="39">
                  <c:v>1.4233536897180594E-3</c:v>
                </c:pt>
                <c:pt idx="40">
                  <c:v>1.4598499381723686E-3</c:v>
                </c:pt>
                <c:pt idx="41">
                  <c:v>1.4963461866266778E-3</c:v>
                </c:pt>
                <c:pt idx="42">
                  <c:v>1.5328424350809871E-3</c:v>
                </c:pt>
                <c:pt idx="43">
                  <c:v>1.5693386835352963E-3</c:v>
                </c:pt>
                <c:pt idx="44">
                  <c:v>1.6058349319896055E-3</c:v>
                </c:pt>
                <c:pt idx="45">
                  <c:v>1.6423311804439147E-3</c:v>
                </c:pt>
                <c:pt idx="46">
                  <c:v>1.6788274288982239E-3</c:v>
                </c:pt>
                <c:pt idx="47">
                  <c:v>1.7153236773525332E-3</c:v>
                </c:pt>
                <c:pt idx="48">
                  <c:v>1.7518199258068424E-3</c:v>
                </c:pt>
                <c:pt idx="49">
                  <c:v>1.7883161742611516E-3</c:v>
                </c:pt>
                <c:pt idx="50">
                  <c:v>1.8248124227154608E-3</c:v>
                </c:pt>
                <c:pt idx="51">
                  <c:v>1.86130867116977E-3</c:v>
                </c:pt>
                <c:pt idx="52">
                  <c:v>1.8978049196240793E-3</c:v>
                </c:pt>
                <c:pt idx="53">
                  <c:v>1.9343011680783885E-3</c:v>
                </c:pt>
                <c:pt idx="54">
                  <c:v>1.9707974165326975E-3</c:v>
                </c:pt>
                <c:pt idx="55">
                  <c:v>2.0072936649870067E-3</c:v>
                </c:pt>
                <c:pt idx="56">
                  <c:v>2.0437899134413159E-3</c:v>
                </c:pt>
                <c:pt idx="57">
                  <c:v>2.0802861618956251E-3</c:v>
                </c:pt>
                <c:pt idx="58">
                  <c:v>2.1167824103499344E-3</c:v>
                </c:pt>
                <c:pt idx="59">
                  <c:v>2.1532786588042436E-3</c:v>
                </c:pt>
                <c:pt idx="60">
                  <c:v>2.1897749072585528E-3</c:v>
                </c:pt>
                <c:pt idx="61">
                  <c:v>2.226271155712862E-3</c:v>
                </c:pt>
                <c:pt idx="62">
                  <c:v>2.2627674041671712E-3</c:v>
                </c:pt>
                <c:pt idx="63">
                  <c:v>2.2992636526214805E-3</c:v>
                </c:pt>
                <c:pt idx="64">
                  <c:v>2.3357599010757897E-3</c:v>
                </c:pt>
                <c:pt idx="65">
                  <c:v>2.3722561495300989E-3</c:v>
                </c:pt>
                <c:pt idx="66">
                  <c:v>2.4087523979844081E-3</c:v>
                </c:pt>
                <c:pt idx="67">
                  <c:v>2.4452486464387174E-3</c:v>
                </c:pt>
                <c:pt idx="68">
                  <c:v>2.4817448948930266E-3</c:v>
                </c:pt>
                <c:pt idx="69">
                  <c:v>2.5182411433473358E-3</c:v>
                </c:pt>
                <c:pt idx="70">
                  <c:v>2.554737391801645E-3</c:v>
                </c:pt>
                <c:pt idx="71">
                  <c:v>2.5912336402559542E-3</c:v>
                </c:pt>
                <c:pt idx="72">
                  <c:v>2.6277298887102635E-3</c:v>
                </c:pt>
                <c:pt idx="73">
                  <c:v>2.6642261371645727E-3</c:v>
                </c:pt>
                <c:pt idx="74">
                  <c:v>2.7007223856188819E-3</c:v>
                </c:pt>
                <c:pt idx="75">
                  <c:v>2.7372186340731911E-3</c:v>
                </c:pt>
              </c:numCache>
            </c:numRef>
          </c:xVal>
          <c:yVal>
            <c:numRef>
              <c:f>SimSk!$I$81:$I$156</c:f>
              <c:numCache>
                <c:formatCode>0.000</c:formatCode>
                <c:ptCount val="76"/>
                <c:pt idx="0">
                  <c:v>3.600000000000001</c:v>
                </c:pt>
                <c:pt idx="1">
                  <c:v>3.5747755339309246</c:v>
                </c:pt>
                <c:pt idx="2">
                  <c:v>3.4934607885902</c:v>
                </c:pt>
                <c:pt idx="3">
                  <c:v>3.3576349760538089</c:v>
                </c:pt>
                <c:pt idx="4">
                  <c:v>3.1697262234884769</c:v>
                </c:pt>
                <c:pt idx="5">
                  <c:v>2.9329688382656967</c:v>
                </c:pt>
                <c:pt idx="6">
                  <c:v>2.6513481219639328</c:v>
                </c:pt>
                <c:pt idx="7">
                  <c:v>2.3295336678975329</c:v>
                </c:pt>
                <c:pt idx="8">
                  <c:v>1.9728022529425953</c:v>
                </c:pt>
                <c:pt idx="9">
                  <c:v>1.5869515921483381</c:v>
                </c:pt>
                <c:pt idx="10">
                  <c:v>1.1782063615452314</c:v>
                </c:pt>
                <c:pt idx="11">
                  <c:v>0.75311800864615797</c:v>
                </c:pt>
                <c:pt idx="12">
                  <c:v>0.31845995971191182</c:v>
                </c:pt>
                <c:pt idx="13">
                  <c:v>-0.11888010336012451</c:v>
                </c:pt>
                <c:pt idx="14">
                  <c:v>-0.55200918653051767</c:v>
                </c:pt>
                <c:pt idx="15">
                  <c:v>-0.97413742746138121</c:v>
                </c:pt>
                <c:pt idx="16">
                  <c:v>-1.3786843367413086</c:v>
                </c:pt>
                <c:pt idx="17">
                  <c:v>-1.7593811772839132</c:v>
                </c:pt>
                <c:pt idx="18">
                  <c:v>-2.1103678923145277</c:v>
                </c:pt>
                <c:pt idx="19">
                  <c:v>-2.4262830866108018</c:v>
                </c:pt>
                <c:pt idx="20">
                  <c:v>-2.7023456829286538</c:v>
                </c:pt>
                <c:pt idx="21">
                  <c:v>-2.9344270138577615</c:v>
                </c:pt>
                <c:pt idx="22">
                  <c:v>-3.1191122664224222</c:v>
                </c:pt>
                <c:pt idx="23">
                  <c:v>-3.2537503700031705</c:v>
                </c:pt>
                <c:pt idx="24">
                  <c:v>-3.3364916047904334</c:v>
                </c:pt>
                <c:pt idx="25">
                  <c:v>-3.3663124049864912</c:v>
                </c:pt>
                <c:pt idx="26">
                  <c:v>-3.3430270351921352</c:v>
                </c:pt>
                <c:pt idx="27">
                  <c:v>-3.2672860265988963</c:v>
                </c:pt>
                <c:pt idx="28">
                  <c:v>-3.1405614684611209</c:v>
                </c:pt>
                <c:pt idx="29">
                  <c:v>-2.9651194565557089</c:v>
                </c:pt>
                <c:pt idx="30">
                  <c:v>-2.7439802007216594</c:v>
                </c:pt>
                <c:pt idx="31">
                  <c:v>-2.4808664849859579</c:v>
                </c:pt>
                <c:pt idx="32">
                  <c:v>-2.1801413532644394</c:v>
                </c:pt>
                <c:pt idx="33">
                  <c:v>-1.8467360584168095</c:v>
                </c:pt>
                <c:pt idx="34">
                  <c:v>-1.4860694600208584</c:v>
                </c:pt>
                <c:pt idx="35">
                  <c:v>-1.1039601843828892</c:v>
                </c:pt>
                <c:pt idx="36">
                  <c:v>-0.70653296710781555</c:v>
                </c:pt>
                <c:pt idx="37">
                  <c:v>-0.30012068244779422</c:v>
                </c:pt>
                <c:pt idx="38">
                  <c:v>0.1088363765643917</c:v>
                </c:pt>
                <c:pt idx="39">
                  <c:v>0.51389236832286955</c:v>
                </c:pt>
                <c:pt idx="40">
                  <c:v>0.90869731478903626</c:v>
                </c:pt>
                <c:pt idx="41">
                  <c:v>1.2870964629714876</c:v>
                </c:pt>
                <c:pt idx="42">
                  <c:v>1.6432260439313477</c:v>
                </c:pt>
                <c:pt idx="43">
                  <c:v>1.9716039424669913</c:v>
                </c:pt>
                <c:pt idx="44">
                  <c:v>2.2672138786383225</c:v>
                </c:pt>
                <c:pt idx="45">
                  <c:v>2.5255818118270574</c:v>
                </c:pt>
                <c:pt idx="46">
                  <c:v>2.7428434072581505</c:v>
                </c:pt>
                <c:pt idx="47">
                  <c:v>2.9158015516903664</c:v>
                </c:pt>
                <c:pt idx="48">
                  <c:v>3.041973066918553</c:v>
                </c:pt>
                <c:pt idx="49">
                  <c:v>3.1196239441882674</c:v>
                </c:pt>
                <c:pt idx="50">
                  <c:v>3.147792606794086</c:v>
                </c:pt>
                <c:pt idx="51">
                  <c:v>3.1263008990675698</c:v>
                </c:pt>
                <c:pt idx="52">
                  <c:v>3.0557526946199722</c:v>
                </c:pt>
                <c:pt idx="53">
                  <c:v>2.9375202120070343</c:v>
                </c:pt>
                <c:pt idx="54">
                  <c:v>2.7737183188531183</c:v>
                </c:pt>
                <c:pt idx="55">
                  <c:v>2.5671672928891764</c:v>
                </c:pt>
                <c:pt idx="56">
                  <c:v>2.3213446874049741</c:v>
                </c:pt>
                <c:pt idx="57">
                  <c:v>2.04032711651928</c:v>
                </c:pt>
                <c:pt idx="58">
                  <c:v>1.7287229298513203</c:v>
                </c:pt>
                <c:pt idx="59">
                  <c:v>1.3915968842810111</c:v>
                </c:pt>
                <c:pt idx="60">
                  <c:v>1.0343880404283023</c:v>
                </c:pt>
                <c:pt idx="61">
                  <c:v>0.66282221147419085</c:v>
                </c:pt>
                <c:pt idx="62">
                  <c:v>0.28282037052141989</c:v>
                </c:pt>
                <c:pt idx="63">
                  <c:v>-9.959552126926173E-2</c:v>
                </c:pt>
                <c:pt idx="64">
                  <c:v>-0.47839777079224688</c:v>
                </c:pt>
                <c:pt idx="65">
                  <c:v>-0.84764778933409746</c:v>
                </c:pt>
                <c:pt idx="66">
                  <c:v>-1.2015890197627466</c:v>
                </c:pt>
                <c:pt idx="67">
                  <c:v>-1.5347365031978908</c:v>
                </c:pt>
                <c:pt idx="68">
                  <c:v>-1.8419616944165602</c:v>
                </c:pt>
                <c:pt idx="69">
                  <c:v>-2.1185712174224056</c:v>
                </c:pt>
                <c:pt idx="70">
                  <c:v>-2.3603783549235766</c:v>
                </c:pt>
                <c:pt idx="71">
                  <c:v>-2.5637661862050627</c:v>
                </c:pt>
                <c:pt idx="72">
                  <c:v>-2.7257414250493532</c:v>
                </c:pt>
                <c:pt idx="73">
                  <c:v>-2.8439781607088941</c:v>
                </c:pt>
                <c:pt idx="74">
                  <c:v>-2.9168508680086358</c:v>
                </c:pt>
                <c:pt idx="75">
                  <c:v>-2.9434562248293816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E9-43C4-BA90-73E4040E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53856"/>
        <c:axId val="177355392"/>
      </c:scatterChart>
      <c:valAx>
        <c:axId val="17734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[sec]</a:t>
                </a:r>
              </a:p>
            </c:rich>
          </c:tx>
          <c:layout>
            <c:manualLayout>
              <c:xMode val="edge"/>
              <c:yMode val="edge"/>
              <c:x val="0.43856373183827446"/>
              <c:y val="0.8886010362694301"/>
            </c:manualLayout>
          </c:layout>
          <c:overlay val="0"/>
          <c:spPr>
            <a:noFill/>
            <a:ln w="25400">
              <a:noFill/>
            </a:ln>
          </c:spPr>
        </c:title>
        <c:numFmt formatCode="##0.E+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347584"/>
        <c:crossesAt val="-10000000000"/>
        <c:crossBetween val="midCat"/>
      </c:valAx>
      <c:valAx>
        <c:axId val="17734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Usec [kV]</a:t>
                </a:r>
              </a:p>
            </c:rich>
          </c:tx>
          <c:layout>
            <c:manualLayout>
              <c:xMode val="edge"/>
              <c:yMode val="edge"/>
              <c:x val="3.0245774609536168E-2"/>
              <c:y val="0.443005181347150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345280"/>
        <c:crosses val="autoZero"/>
        <c:crossBetween val="midCat"/>
      </c:valAx>
      <c:valAx>
        <c:axId val="17735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355392"/>
        <c:crosses val="autoZero"/>
        <c:crossBetween val="midCat"/>
      </c:valAx>
      <c:valAx>
        <c:axId val="1773553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 A ]</a:t>
                </a:r>
              </a:p>
            </c:rich>
          </c:tx>
          <c:layout>
            <c:manualLayout>
              <c:xMode val="edge"/>
              <c:yMode val="edge"/>
              <c:x val="0.9187154037646611"/>
              <c:y val="0.48445595854922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35385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892279887870585"/>
          <c:y val="0.13471502590673576"/>
          <c:w val="0.31190955066084175"/>
          <c:h val="6.73575129533678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Spark</a:t>
            </a:r>
          </a:p>
        </c:rich>
      </c:tx>
      <c:layout>
        <c:manualLayout>
          <c:xMode val="edge"/>
          <c:yMode val="edge"/>
          <c:x val="0.448105797037329"/>
          <c:y val="3.0120540993154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879260900868"/>
          <c:y val="0.22088396728313112"/>
          <c:w val="0.767710666983071"/>
          <c:h val="0.63654743298865968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SimSk!$L$203:$L$204</c:f>
              <c:strCache>
                <c:ptCount val="2"/>
                <c:pt idx="0">
                  <c:v>Usec</c:v>
                </c:pt>
                <c:pt idx="1">
                  <c:v>[kV]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SimSk!$H$205:$H$255</c:f>
              <c:numCache>
                <c:formatCode>##0.000E+0</c:formatCode>
                <c:ptCount val="51"/>
                <c:pt idx="0" formatCode="General">
                  <c:v>0</c:v>
                </c:pt>
                <c:pt idx="1">
                  <c:v>1.7215291124430922E-5</c:v>
                </c:pt>
                <c:pt idx="2">
                  <c:v>3.4430582248861844E-5</c:v>
                </c:pt>
                <c:pt idx="3">
                  <c:v>5.1645873373292765E-5</c:v>
                </c:pt>
                <c:pt idx="4">
                  <c:v>6.8861164497723687E-5</c:v>
                </c:pt>
                <c:pt idx="5">
                  <c:v>8.6076455622154609E-5</c:v>
                </c:pt>
                <c:pt idx="6">
                  <c:v>1.0329174674658553E-4</c:v>
                </c:pt>
                <c:pt idx="7">
                  <c:v>1.2050703787101645E-4</c:v>
                </c:pt>
                <c:pt idx="8">
                  <c:v>1.3772232899544737E-4</c:v>
                </c:pt>
                <c:pt idx="9">
                  <c:v>1.5493762011987831E-4</c:v>
                </c:pt>
                <c:pt idx="10">
                  <c:v>1.7215291124430925E-4</c:v>
                </c:pt>
                <c:pt idx="11">
                  <c:v>1.8936820236874018E-4</c:v>
                </c:pt>
                <c:pt idx="12">
                  <c:v>2.0658349349317112E-4</c:v>
                </c:pt>
                <c:pt idx="13">
                  <c:v>2.2379878461760205E-4</c:v>
                </c:pt>
                <c:pt idx="14">
                  <c:v>2.4101407574203299E-4</c:v>
                </c:pt>
                <c:pt idx="15">
                  <c:v>2.5822936686646392E-4</c:v>
                </c:pt>
                <c:pt idx="16">
                  <c:v>2.7544465799089486E-4</c:v>
                </c:pt>
                <c:pt idx="17">
                  <c:v>2.9265994911532579E-4</c:v>
                </c:pt>
                <c:pt idx="18">
                  <c:v>3.0987524023975673E-4</c:v>
                </c:pt>
                <c:pt idx="19">
                  <c:v>3.2709053136418766E-4</c:v>
                </c:pt>
                <c:pt idx="20">
                  <c:v>3.443058224886186E-4</c:v>
                </c:pt>
                <c:pt idx="21">
                  <c:v>3.6152111361304953E-4</c:v>
                </c:pt>
                <c:pt idx="22">
                  <c:v>3.7873640473748047E-4</c:v>
                </c:pt>
                <c:pt idx="23">
                  <c:v>3.959516958619114E-4</c:v>
                </c:pt>
                <c:pt idx="24">
                  <c:v>4.1316698698634234E-4</c:v>
                </c:pt>
                <c:pt idx="25">
                  <c:v>4.3038227811077328E-4</c:v>
                </c:pt>
                <c:pt idx="26">
                  <c:v>4.4759756923520421E-4</c:v>
                </c:pt>
                <c:pt idx="27">
                  <c:v>4.6481286035963515E-4</c:v>
                </c:pt>
                <c:pt idx="28">
                  <c:v>4.8202815148406608E-4</c:v>
                </c:pt>
                <c:pt idx="29">
                  <c:v>4.9924344260849696E-4</c:v>
                </c:pt>
                <c:pt idx="30">
                  <c:v>5.1645873373292784E-4</c:v>
                </c:pt>
                <c:pt idx="31">
                  <c:v>5.3367402485735873E-4</c:v>
                </c:pt>
                <c:pt idx="32">
                  <c:v>5.5088931598178961E-4</c:v>
                </c:pt>
                <c:pt idx="33">
                  <c:v>5.6810460710622049E-4</c:v>
                </c:pt>
                <c:pt idx="34">
                  <c:v>5.8531989823065137E-4</c:v>
                </c:pt>
                <c:pt idx="35">
                  <c:v>6.0253518935508225E-4</c:v>
                </c:pt>
                <c:pt idx="36">
                  <c:v>6.1975048047951313E-4</c:v>
                </c:pt>
                <c:pt idx="37">
                  <c:v>6.3696577160394401E-4</c:v>
                </c:pt>
                <c:pt idx="38">
                  <c:v>6.5418106272837489E-4</c:v>
                </c:pt>
                <c:pt idx="39">
                  <c:v>6.7139635385280577E-4</c:v>
                </c:pt>
                <c:pt idx="40">
                  <c:v>6.8861164497723666E-4</c:v>
                </c:pt>
                <c:pt idx="41">
                  <c:v>7.0582693610166754E-4</c:v>
                </c:pt>
                <c:pt idx="42">
                  <c:v>7.2304222722609842E-4</c:v>
                </c:pt>
                <c:pt idx="43">
                  <c:v>7.402575183505293E-4</c:v>
                </c:pt>
                <c:pt idx="44">
                  <c:v>7.5747280947496018E-4</c:v>
                </c:pt>
                <c:pt idx="45">
                  <c:v>7.7468810059939106E-4</c:v>
                </c:pt>
                <c:pt idx="46">
                  <c:v>7.9190339172382194E-4</c:v>
                </c:pt>
                <c:pt idx="47">
                  <c:v>8.0911868284825282E-4</c:v>
                </c:pt>
                <c:pt idx="48">
                  <c:v>8.263339739726837E-4</c:v>
                </c:pt>
                <c:pt idx="49">
                  <c:v>8.4354926509711459E-4</c:v>
                </c:pt>
              </c:numCache>
            </c:numRef>
          </c:xVal>
          <c:yVal>
            <c:numRef>
              <c:f>SimSk!$L$205:$L$255</c:f>
              <c:numCache>
                <c:formatCode>General</c:formatCode>
                <c:ptCount val="51"/>
                <c:pt idx="0">
                  <c:v>9.158393969253428</c:v>
                </c:pt>
                <c:pt idx="1">
                  <c:v>10.093749732479784</c:v>
                </c:pt>
                <c:pt idx="2">
                  <c:v>10.633529447608579</c:v>
                </c:pt>
                <c:pt idx="3">
                  <c:v>10.760573724020219</c:v>
                </c:pt>
                <c:pt idx="4">
                  <c:v>10.473513139228892</c:v>
                </c:pt>
                <c:pt idx="5">
                  <c:v>9.786658534958617</c:v>
                </c:pt>
                <c:pt idx="6">
                  <c:v>8.729307236230234</c:v>
                </c:pt>
                <c:pt idx="7">
                  <c:v>7.3444975054565802</c:v>
                </c:pt>
                <c:pt idx="8">
                  <c:v>5.6872634978257368</c:v>
                </c:pt>
                <c:pt idx="9">
                  <c:v>3.8224607839528</c:v>
                </c:pt>
                <c:pt idx="10">
                  <c:v>1.8222475291903528</c:v>
                </c:pt>
                <c:pt idx="11">
                  <c:v>-0.23668184723976907</c:v>
                </c:pt>
                <c:pt idx="12">
                  <c:v>-2.2760056538705387</c:v>
                </c:pt>
                <c:pt idx="13">
                  <c:v>-4.218717541206928</c:v>
                </c:pt>
                <c:pt idx="14">
                  <c:v>-5.9919936440005177</c:v>
                </c:pt>
                <c:pt idx="15">
                  <c:v>-7.5298790407216689</c:v>
                </c:pt>
                <c:pt idx="16">
                  <c:v>-8.7756960169046838</c:v>
                </c:pt>
                <c:pt idx="17">
                  <c:v>-9.6840877987825884</c:v>
                </c:pt>
                <c:pt idx="18">
                  <c:v>-10.22262564161557</c:v>
                </c:pt>
                <c:pt idx="19">
                  <c:v>-10.372923864464857</c:v>
                </c:pt>
                <c:pt idx="20">
                  <c:v>-10.13122598699595</c:v>
                </c:pt>
                <c:pt idx="21">
                  <c:v>-9.5084448510459616</c:v>
                </c:pt>
                <c:pt idx="22">
                  <c:v>-8.5296597722926819</c:v>
                </c:pt>
                <c:pt idx="23">
                  <c:v>-7.2330936293977013</c:v>
                </c:pt>
                <c:pt idx="24">
                  <c:v>-5.6686116418310437</c:v>
                </c:pt>
                <c:pt idx="25">
                  <c:v>-3.8958007395791028</c:v>
                </c:pt>
                <c:pt idx="26">
                  <c:v>-1.9817032821887173</c:v>
                </c:pt>
                <c:pt idx="27">
                  <c:v>1.7090759737004647E-3</c:v>
                </c:pt>
                <c:pt idx="28">
                  <c:v>1.9802267633497364</c:v>
                </c:pt>
                <c:pt idx="29">
                  <c:v>3.8801590025736172</c:v>
                </c:pt>
                <c:pt idx="30">
                  <c:v>5.631054324967776</c:v>
                </c:pt>
                <c:pt idx="31">
                  <c:v>7.1682854396251638</c:v>
                </c:pt>
                <c:pt idx="32">
                  <c:v>8.435404687534902</c:v>
                </c:pt>
                <c:pt idx="33">
                  <c:v>9.3861853516213234</c:v>
                </c:pt>
                <c:pt idx="34">
                  <c:v>9.9862761409630298</c:v>
                </c:pt>
                <c:pt idx="35">
                  <c:v>10.214410762133145</c:v>
                </c:pt>
                <c:pt idx="36">
                  <c:v>10.063131085007708</c:v>
                </c:pt>
                <c:pt idx="37">
                  <c:v>9.5390003895216537</c:v>
                </c:pt>
                <c:pt idx="38">
                  <c:v>8.6623018838658119</c:v>
                </c:pt>
                <c:pt idx="39">
                  <c:v>7.4662364328444379</c:v>
                </c:pt>
                <c:pt idx="40">
                  <c:v>5.9956515506120596</c:v>
                </c:pt>
                <c:pt idx="41">
                  <c:v>4.3053505457858687</c:v>
                </c:pt>
                <c:pt idx="42">
                  <c:v>2.4580456609491721</c:v>
                </c:pt>
                <c:pt idx="43">
                  <c:v>0.5220315967547049</c:v>
                </c:pt>
                <c:pt idx="44">
                  <c:v>-1.4313344826239693</c:v>
                </c:pt>
                <c:pt idx="45">
                  <c:v>-3.3302538317328096</c:v>
                </c:pt>
                <c:pt idx="46">
                  <c:v>-5.1051121154018064</c:v>
                </c:pt>
                <c:pt idx="47">
                  <c:v>-6.6910150621188977</c:v>
                </c:pt>
                <c:pt idx="48">
                  <c:v>-8.0301421068640177</c:v>
                </c:pt>
                <c:pt idx="49">
                  <c:v>-9.0738334132789298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E5-455E-9936-DB6D16E2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096192"/>
        <c:axId val="177102848"/>
      </c:scatterChart>
      <c:scatterChart>
        <c:scatterStyle val="lineMarker"/>
        <c:varyColors val="0"/>
        <c:ser>
          <c:idx val="0"/>
          <c:order val="0"/>
          <c:tx>
            <c:strRef>
              <c:f>SimSk!$I$203:$I$204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SimSk!$H$205:$H$255</c:f>
              <c:numCache>
                <c:formatCode>##0.000E+0</c:formatCode>
                <c:ptCount val="51"/>
                <c:pt idx="0" formatCode="General">
                  <c:v>0</c:v>
                </c:pt>
                <c:pt idx="1">
                  <c:v>1.7215291124430922E-5</c:v>
                </c:pt>
                <c:pt idx="2">
                  <c:v>3.4430582248861844E-5</c:v>
                </c:pt>
                <c:pt idx="3">
                  <c:v>5.1645873373292765E-5</c:v>
                </c:pt>
                <c:pt idx="4">
                  <c:v>6.8861164497723687E-5</c:v>
                </c:pt>
                <c:pt idx="5">
                  <c:v>8.6076455622154609E-5</c:v>
                </c:pt>
                <c:pt idx="6">
                  <c:v>1.0329174674658553E-4</c:v>
                </c:pt>
                <c:pt idx="7">
                  <c:v>1.2050703787101645E-4</c:v>
                </c:pt>
                <c:pt idx="8">
                  <c:v>1.3772232899544737E-4</c:v>
                </c:pt>
                <c:pt idx="9">
                  <c:v>1.5493762011987831E-4</c:v>
                </c:pt>
                <c:pt idx="10">
                  <c:v>1.7215291124430925E-4</c:v>
                </c:pt>
                <c:pt idx="11">
                  <c:v>1.8936820236874018E-4</c:v>
                </c:pt>
                <c:pt idx="12">
                  <c:v>2.0658349349317112E-4</c:v>
                </c:pt>
                <c:pt idx="13">
                  <c:v>2.2379878461760205E-4</c:v>
                </c:pt>
                <c:pt idx="14">
                  <c:v>2.4101407574203299E-4</c:v>
                </c:pt>
                <c:pt idx="15">
                  <c:v>2.5822936686646392E-4</c:v>
                </c:pt>
                <c:pt idx="16">
                  <c:v>2.7544465799089486E-4</c:v>
                </c:pt>
                <c:pt idx="17">
                  <c:v>2.9265994911532579E-4</c:v>
                </c:pt>
                <c:pt idx="18">
                  <c:v>3.0987524023975673E-4</c:v>
                </c:pt>
                <c:pt idx="19">
                  <c:v>3.2709053136418766E-4</c:v>
                </c:pt>
                <c:pt idx="20">
                  <c:v>3.443058224886186E-4</c:v>
                </c:pt>
                <c:pt idx="21">
                  <c:v>3.6152111361304953E-4</c:v>
                </c:pt>
                <c:pt idx="22">
                  <c:v>3.7873640473748047E-4</c:v>
                </c:pt>
                <c:pt idx="23">
                  <c:v>3.959516958619114E-4</c:v>
                </c:pt>
                <c:pt idx="24">
                  <c:v>4.1316698698634234E-4</c:v>
                </c:pt>
                <c:pt idx="25">
                  <c:v>4.3038227811077328E-4</c:v>
                </c:pt>
                <c:pt idx="26">
                  <c:v>4.4759756923520421E-4</c:v>
                </c:pt>
                <c:pt idx="27">
                  <c:v>4.6481286035963515E-4</c:v>
                </c:pt>
                <c:pt idx="28">
                  <c:v>4.8202815148406608E-4</c:v>
                </c:pt>
                <c:pt idx="29">
                  <c:v>4.9924344260849696E-4</c:v>
                </c:pt>
                <c:pt idx="30">
                  <c:v>5.1645873373292784E-4</c:v>
                </c:pt>
                <c:pt idx="31">
                  <c:v>5.3367402485735873E-4</c:v>
                </c:pt>
                <c:pt idx="32">
                  <c:v>5.5088931598178961E-4</c:v>
                </c:pt>
                <c:pt idx="33">
                  <c:v>5.6810460710622049E-4</c:v>
                </c:pt>
                <c:pt idx="34">
                  <c:v>5.8531989823065137E-4</c:v>
                </c:pt>
                <c:pt idx="35">
                  <c:v>6.0253518935508225E-4</c:v>
                </c:pt>
                <c:pt idx="36">
                  <c:v>6.1975048047951313E-4</c:v>
                </c:pt>
                <c:pt idx="37">
                  <c:v>6.3696577160394401E-4</c:v>
                </c:pt>
                <c:pt idx="38">
                  <c:v>6.5418106272837489E-4</c:v>
                </c:pt>
                <c:pt idx="39">
                  <c:v>6.7139635385280577E-4</c:v>
                </c:pt>
                <c:pt idx="40">
                  <c:v>6.8861164497723666E-4</c:v>
                </c:pt>
                <c:pt idx="41">
                  <c:v>7.0582693610166754E-4</c:v>
                </c:pt>
                <c:pt idx="42">
                  <c:v>7.2304222722609842E-4</c:v>
                </c:pt>
                <c:pt idx="43">
                  <c:v>7.402575183505293E-4</c:v>
                </c:pt>
                <c:pt idx="44">
                  <c:v>7.5747280947496018E-4</c:v>
                </c:pt>
                <c:pt idx="45">
                  <c:v>7.7468810059939106E-4</c:v>
                </c:pt>
                <c:pt idx="46">
                  <c:v>7.9190339172382194E-4</c:v>
                </c:pt>
                <c:pt idx="47">
                  <c:v>8.0911868284825282E-4</c:v>
                </c:pt>
                <c:pt idx="48">
                  <c:v>8.263339739726837E-4</c:v>
                </c:pt>
                <c:pt idx="49">
                  <c:v>8.4354926509711459E-4</c:v>
                </c:pt>
              </c:numCache>
            </c:numRef>
          </c:xVal>
          <c:yVal>
            <c:numRef>
              <c:f>SimSk!$I$205:$I$255</c:f>
              <c:numCache>
                <c:formatCode>0.000</c:formatCode>
                <c:ptCount val="51"/>
                <c:pt idx="0">
                  <c:v>21.83073020064878</c:v>
                </c:pt>
                <c:pt idx="1">
                  <c:v>21.497546910515609</c:v>
                </c:pt>
                <c:pt idx="2">
                  <c:v>20.41090385902908</c:v>
                </c:pt>
                <c:pt idx="3">
                  <c:v>18.608886406237811</c:v>
                </c:pt>
                <c:pt idx="4">
                  <c:v>16.154652811341641</c:v>
                </c:pt>
                <c:pt idx="5">
                  <c:v>13.134220621664129</c:v>
                </c:pt>
                <c:pt idx="6">
                  <c:v>9.6534518746875673</c:v>
                </c:pt>
                <c:pt idx="7">
                  <c:v>5.834342777715988</c:v>
                </c:pt>
                <c:pt idx="8">
                  <c:v>1.8107479068442522</c:v>
                </c:pt>
                <c:pt idx="9">
                  <c:v>-2.2763112137598389</c:v>
                </c:pt>
                <c:pt idx="10">
                  <c:v>-6.2835887243493227</c:v>
                </c:pt>
                <c:pt idx="11">
                  <c:v>-10.070635002026593</c:v>
                </c:pt>
                <c:pt idx="12">
                  <c:v>-13.504719228876004</c:v>
                </c:pt>
                <c:pt idx="13">
                  <c:v>-16.465481426487006</c:v>
                </c:pt>
                <c:pt idx="14">
                  <c:v>-18.849150909389216</c:v>
                </c:pt>
                <c:pt idx="15">
                  <c:v>-20.572183306347679</c:v>
                </c:pt>
                <c:pt idx="16">
                  <c:v>-21.574188676871959</c:v>
                </c:pt>
                <c:pt idx="17">
                  <c:v>-21.820048096440459</c:v>
                </c:pt>
                <c:pt idx="18">
                  <c:v>-21.301144527008525</c:v>
                </c:pt>
                <c:pt idx="19">
                  <c:v>-20.035664832464256</c:v>
                </c:pt>
                <c:pt idx="20">
                  <c:v>-18.067962353801295</c:v>
                </c:pt>
                <c:pt idx="21">
                  <c:v>-15.467002384881267</c:v>
                </c:pt>
                <c:pt idx="22">
                  <c:v>-12.323945032744726</c:v>
                </c:pt>
                <c:pt idx="23">
                  <c:v>-8.7489501799270535</c:v>
                </c:pt>
                <c:pt idx="24">
                  <c:v>-4.8673165305015589</c:v>
                </c:pt>
                <c:pt idx="25">
                  <c:v>-0.81509006103162107</c:v>
                </c:pt>
                <c:pt idx="26">
                  <c:v>3.265704205751339</c:v>
                </c:pt>
                <c:pt idx="27">
                  <c:v>7.232039984700374</c:v>
                </c:pt>
                <c:pt idx="28">
                  <c:v>10.944902604890791</c:v>
                </c:pt>
                <c:pt idx="29">
                  <c:v>14.274161284638884</c:v>
                </c:pt>
                <c:pt idx="30">
                  <c:v>17.103130038293962</c:v>
                </c:pt>
                <c:pt idx="31">
                  <c:v>19.332657361227238</c:v>
                </c:pt>
                <c:pt idx="32">
                  <c:v>20.884601355125366</c:v>
                </c:pt>
                <c:pt idx="33">
                  <c:v>21.704568495176236</c:v>
                </c:pt>
                <c:pt idx="34">
                  <c:v>21.763820049084874</c:v>
                </c:pt>
                <c:pt idx="35">
                  <c:v>21.060279330527315</c:v>
                </c:pt>
                <c:pt idx="36">
                  <c:v>19.618604484179933</c:v>
                </c:pt>
                <c:pt idx="37">
                  <c:v>17.489324251307934</c:v>
                </c:pt>
                <c:pt idx="38">
                  <c:v>14.747067006152905</c:v>
                </c:pt>
                <c:pt idx="39">
                  <c:v>11.487945132983844</c:v>
                </c:pt>
                <c:pt idx="40">
                  <c:v>7.8261864178361034</c:v>
                </c:pt>
                <c:pt idx="41">
                  <c:v>3.8901305200733125</c:v>
                </c:pt>
                <c:pt idx="42">
                  <c:v>-0.18226915800492111</c:v>
                </c:pt>
                <c:pt idx="43">
                  <c:v>-4.2482805501608532</c:v>
                </c:pt>
                <c:pt idx="44">
                  <c:v>-8.1653954908839665</c:v>
                </c:pt>
                <c:pt idx="45">
                  <c:v>-11.796324432640478</c:v>
                </c:pt>
                <c:pt idx="46">
                  <c:v>-15.013808257665259</c:v>
                </c:pt>
                <c:pt idx="47">
                  <c:v>-17.705078536841597</c:v>
                </c:pt>
                <c:pt idx="48">
                  <c:v>-19.775809909665512</c:v>
                </c:pt>
                <c:pt idx="49">
                  <c:v>-21.15342605975593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E5-455E-9936-DB6D16E2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04768"/>
        <c:axId val="177106304"/>
      </c:scatterChart>
      <c:valAx>
        <c:axId val="17709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[sec]</a:t>
                </a:r>
              </a:p>
            </c:rich>
          </c:tx>
          <c:layout>
            <c:manualLayout>
              <c:xMode val="edge"/>
              <c:yMode val="edge"/>
              <c:x val="0.45799048373668183"/>
              <c:y val="0.9116483740594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102848"/>
        <c:crossesAt val="-10000000000"/>
        <c:crossBetween val="midCat"/>
      </c:valAx>
      <c:valAx>
        <c:axId val="17710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Usec [kV]</a:t>
                </a:r>
              </a:p>
            </c:rich>
          </c:tx>
          <c:layout>
            <c:manualLayout>
              <c:xMode val="edge"/>
              <c:yMode val="edge"/>
              <c:x val="2.6359164531607589E-2"/>
              <c:y val="0.45984025916215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096192"/>
        <c:crosses val="autoZero"/>
        <c:crossBetween val="midCat"/>
      </c:valAx>
      <c:valAx>
        <c:axId val="17710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106304"/>
        <c:crosses val="autoZero"/>
        <c:crossBetween val="midCat"/>
      </c:valAx>
      <c:valAx>
        <c:axId val="1771063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0.92751310195594205"/>
              <c:y val="0.50401705261878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10476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902830344250626"/>
          <c:y val="0.13052234430366838"/>
          <c:w val="0.26194419753285042"/>
          <c:h val="4.81928655890467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Charge Cycle:  i [A]</a:t>
            </a:r>
          </a:p>
        </c:rich>
      </c:tx>
      <c:layout>
        <c:manualLayout>
          <c:xMode val="edge"/>
          <c:yMode val="edge"/>
          <c:x val="0.2954548435228519"/>
          <c:y val="3.4285714285714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75300409289058E-2"/>
          <c:y val="0.22"/>
          <c:w val="0.83471158589672845"/>
          <c:h val="0.65142857142857147"/>
        </c:manualLayout>
      </c:layout>
      <c:scatterChart>
        <c:scatterStyle val="lineMarker"/>
        <c:varyColors val="0"/>
        <c:ser>
          <c:idx val="0"/>
          <c:order val="0"/>
          <c:tx>
            <c:strRef>
              <c:f>Sim26k!$I$33:$I$34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Sim26k!$H$35:$H$61</c:f>
              <c:numCache>
                <c:formatCode>General</c:formatCode>
                <c:ptCount val="27"/>
                <c:pt idx="0">
                  <c:v>0</c:v>
                </c:pt>
                <c:pt idx="1">
                  <c:v>1.3609301355494154E-4</c:v>
                </c:pt>
                <c:pt idx="2">
                  <c:v>2.7218602710988308E-4</c:v>
                </c:pt>
                <c:pt idx="3">
                  <c:v>4.0827904066482459E-4</c:v>
                </c:pt>
                <c:pt idx="4">
                  <c:v>5.4437205421976615E-4</c:v>
                </c:pt>
                <c:pt idx="5">
                  <c:v>6.8046506777470772E-4</c:v>
                </c:pt>
                <c:pt idx="6">
                  <c:v>8.1655808132964928E-4</c:v>
                </c:pt>
                <c:pt idx="7">
                  <c:v>9.5265109488459085E-4</c:v>
                </c:pt>
                <c:pt idx="8">
                  <c:v>1.0887441084395323E-3</c:v>
                </c:pt>
                <c:pt idx="9">
                  <c:v>1.2248371219944739E-3</c:v>
                </c:pt>
                <c:pt idx="10">
                  <c:v>1.3609301355494154E-3</c:v>
                </c:pt>
                <c:pt idx="11">
                  <c:v>1.497023149104357E-3</c:v>
                </c:pt>
                <c:pt idx="12">
                  <c:v>1.6331161626592986E-3</c:v>
                </c:pt>
                <c:pt idx="13">
                  <c:v>1.7692091762142401E-3</c:v>
                </c:pt>
                <c:pt idx="14">
                  <c:v>1.9053021897691817E-3</c:v>
                </c:pt>
                <c:pt idx="15">
                  <c:v>2.0413952033241233E-3</c:v>
                </c:pt>
                <c:pt idx="16">
                  <c:v>2.1774882168790646E-3</c:v>
                </c:pt>
                <c:pt idx="17">
                  <c:v>2.313581230434006E-3</c:v>
                </c:pt>
                <c:pt idx="18">
                  <c:v>2.4496742439889473E-3</c:v>
                </c:pt>
                <c:pt idx="19">
                  <c:v>2.5857672575438887E-3</c:v>
                </c:pt>
                <c:pt idx="20">
                  <c:v>2.72186027109883E-3</c:v>
                </c:pt>
                <c:pt idx="21">
                  <c:v>2.8579532846537714E-3</c:v>
                </c:pt>
                <c:pt idx="22">
                  <c:v>2.9940462982087127E-3</c:v>
                </c:pt>
                <c:pt idx="23">
                  <c:v>3.1301393117636541E-3</c:v>
                </c:pt>
                <c:pt idx="24">
                  <c:v>3.2662323253185954E-3</c:v>
                </c:pt>
                <c:pt idx="25">
                  <c:v>3.4023253388735368E-3</c:v>
                </c:pt>
                <c:pt idx="26">
                  <c:v>3.5384183524284781E-3</c:v>
                </c:pt>
              </c:numCache>
            </c:numRef>
          </c:xVal>
          <c:yVal>
            <c:numRef>
              <c:f>Sim26k!$I$35:$I$61</c:f>
              <c:numCache>
                <c:formatCode>0.0</c:formatCode>
                <c:ptCount val="27"/>
                <c:pt idx="0">
                  <c:v>0</c:v>
                </c:pt>
                <c:pt idx="1">
                  <c:v>0.39199925822440773</c:v>
                </c:pt>
                <c:pt idx="2">
                  <c:v>0.77612207432366953</c:v>
                </c:pt>
                <c:pt idx="3">
                  <c:v>1.1525267096700971</c:v>
                </c:pt>
                <c:pt idx="4">
                  <c:v>1.5213682456898272</c:v>
                </c:pt>
                <c:pt idx="5">
                  <c:v>1.8827986477575001</c:v>
                </c:pt>
                <c:pt idx="6">
                  <c:v>2.2369668278070782</c:v>
                </c:pt>
                <c:pt idx="7">
                  <c:v>2.5840187056846466</c:v>
                </c:pt>
                <c:pt idx="8">
                  <c:v>2.9240972692684415</c:v>
                </c:pt>
                <c:pt idx="9">
                  <c:v>3.257342633380881</c:v>
                </c:pt>
                <c:pt idx="10">
                  <c:v>3.5838920975168942</c:v>
                </c:pt>
                <c:pt idx="11">
                  <c:v>3.9038802024122936</c:v>
                </c:pt>
                <c:pt idx="12">
                  <c:v>4.2174387854755357</c:v>
                </c:pt>
                <c:pt idx="13">
                  <c:v>4.5246970351056826</c:v>
                </c:pt>
                <c:pt idx="14">
                  <c:v>4.8257815439189535</c:v>
                </c:pt>
                <c:pt idx="15">
                  <c:v>5.1208163609057982</c:v>
                </c:pt>
                <c:pt idx="16">
                  <c:v>5.4099230425399734</c:v>
                </c:pt>
                <c:pt idx="17">
                  <c:v>5.693220702860696</c:v>
                </c:pt>
                <c:pt idx="18">
                  <c:v>5.970826062548471</c:v>
                </c:pt>
                <c:pt idx="19">
                  <c:v>6.2428534970148704</c:v>
                </c:pt>
                <c:pt idx="20">
                  <c:v>6.5094150835260161</c:v>
                </c:pt>
                <c:pt idx="21">
                  <c:v>6.7706206473792339</c:v>
                </c:pt>
                <c:pt idx="22">
                  <c:v>7.0265778071518543</c:v>
                </c:pt>
                <c:pt idx="23">
                  <c:v>7.2773920190408568</c:v>
                </c:pt>
                <c:pt idx="24">
                  <c:v>7.5231666203115735</c:v>
                </c:pt>
                <c:pt idx="25">
                  <c:v>7.7640028718733962</c:v>
                </c:pt>
                <c:pt idx="26">
                  <c:v>7.9999999999999964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D0-4215-A805-8816F5F7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44480"/>
        <c:axId val="178106368"/>
      </c:scatterChart>
      <c:valAx>
        <c:axId val="17504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106368"/>
        <c:crosses val="autoZero"/>
        <c:crossBetween val="midCat"/>
      </c:valAx>
      <c:valAx>
        <c:axId val="17810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044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Charge - Interrupt Cycle</a:t>
            </a:r>
          </a:p>
        </c:rich>
      </c:tx>
      <c:layout>
        <c:manualLayout>
          <c:xMode val="edge"/>
          <c:yMode val="edge"/>
          <c:x val="0.38105263157894737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5263157894737"/>
          <c:y val="0.17485265225933203"/>
          <c:w val="0.80315789473684207"/>
          <c:h val="0.65815324165029465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Sim26k!$R$33:$R$34</c:f>
              <c:strCache>
                <c:ptCount val="2"/>
                <c:pt idx="0">
                  <c:v>UL</c:v>
                </c:pt>
                <c:pt idx="1">
                  <c:v>[V]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Sim26k!$P$35:$P$197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0.13609301355494155</c:v>
                </c:pt>
                <c:pt idx="2">
                  <c:v>0.2721860271098831</c:v>
                </c:pt>
                <c:pt idx="3">
                  <c:v>0.40827904066482457</c:v>
                </c:pt>
                <c:pt idx="4">
                  <c:v>0.5443720542197662</c:v>
                </c:pt>
                <c:pt idx="5">
                  <c:v>0.68046506777470772</c:v>
                </c:pt>
                <c:pt idx="6">
                  <c:v>0.81655808132964924</c:v>
                </c:pt>
                <c:pt idx="7">
                  <c:v>0.95265109488459088</c:v>
                </c:pt>
                <c:pt idx="8">
                  <c:v>1.0887441084395324</c:v>
                </c:pt>
                <c:pt idx="9">
                  <c:v>1.2248371219944738</c:v>
                </c:pt>
                <c:pt idx="10">
                  <c:v>1.3609301355494154</c:v>
                </c:pt>
                <c:pt idx="11">
                  <c:v>1.4970231491043571</c:v>
                </c:pt>
                <c:pt idx="12">
                  <c:v>1.6331161626592985</c:v>
                </c:pt>
                <c:pt idx="13">
                  <c:v>1.7692091762142401</c:v>
                </c:pt>
                <c:pt idx="14">
                  <c:v>1.9053021897691818</c:v>
                </c:pt>
                <c:pt idx="15">
                  <c:v>2.0413952033241234</c:v>
                </c:pt>
                <c:pt idx="16">
                  <c:v>2.1774882168790648</c:v>
                </c:pt>
                <c:pt idx="17">
                  <c:v>2.3135812304340058</c:v>
                </c:pt>
                <c:pt idx="18">
                  <c:v>2.4496742439889472</c:v>
                </c:pt>
                <c:pt idx="19">
                  <c:v>2.5857672575438886</c:v>
                </c:pt>
                <c:pt idx="20">
                  <c:v>2.72186027109883</c:v>
                </c:pt>
                <c:pt idx="21">
                  <c:v>2.8579532846537714</c:v>
                </c:pt>
                <c:pt idx="22">
                  <c:v>2.9940462982087128</c:v>
                </c:pt>
                <c:pt idx="23">
                  <c:v>3.1301393117636542</c:v>
                </c:pt>
                <c:pt idx="24">
                  <c:v>3.2662323253185952</c:v>
                </c:pt>
                <c:pt idx="25">
                  <c:v>3.4023253388735366</c:v>
                </c:pt>
                <c:pt idx="26">
                  <c:v>3.538418352428478</c:v>
                </c:pt>
                <c:pt idx="27">
                  <c:v>3.538418352428478</c:v>
                </c:pt>
                <c:pt idx="28">
                  <c:v>3.5610360702687367</c:v>
                </c:pt>
                <c:pt idx="29">
                  <c:v>3.5836537881089949</c:v>
                </c:pt>
                <c:pt idx="30">
                  <c:v>3.6062715059492532</c:v>
                </c:pt>
                <c:pt idx="31">
                  <c:v>3.6288892237895118</c:v>
                </c:pt>
                <c:pt idx="32">
                  <c:v>3.6515069416297701</c:v>
                </c:pt>
                <c:pt idx="33">
                  <c:v>3.6741246594700283</c:v>
                </c:pt>
                <c:pt idx="34">
                  <c:v>3.696742377310287</c:v>
                </c:pt>
                <c:pt idx="35">
                  <c:v>3.7193600951505452</c:v>
                </c:pt>
                <c:pt idx="36">
                  <c:v>3.7419778129908035</c:v>
                </c:pt>
                <c:pt idx="37">
                  <c:v>3.7645955308310621</c:v>
                </c:pt>
                <c:pt idx="38">
                  <c:v>3.7872132486713204</c:v>
                </c:pt>
                <c:pt idx="39">
                  <c:v>3.809830966511579</c:v>
                </c:pt>
                <c:pt idx="40">
                  <c:v>3.8324486843518373</c:v>
                </c:pt>
                <c:pt idx="41">
                  <c:v>3.8550664021920955</c:v>
                </c:pt>
                <c:pt idx="42">
                  <c:v>3.8776841200323542</c:v>
                </c:pt>
                <c:pt idx="43">
                  <c:v>3.9003018378726124</c:v>
                </c:pt>
                <c:pt idx="44">
                  <c:v>3.9229195557128711</c:v>
                </c:pt>
                <c:pt idx="45">
                  <c:v>3.9455372735531289</c:v>
                </c:pt>
                <c:pt idx="46">
                  <c:v>3.9681549913933871</c:v>
                </c:pt>
                <c:pt idx="47">
                  <c:v>3.9907727092336458</c:v>
                </c:pt>
                <c:pt idx="48">
                  <c:v>4.0133904270739045</c:v>
                </c:pt>
                <c:pt idx="49">
                  <c:v>4.0360081449141632</c:v>
                </c:pt>
                <c:pt idx="50">
                  <c:v>4.0586258627544218</c:v>
                </c:pt>
                <c:pt idx="51">
                  <c:v>4.0812435805946787</c:v>
                </c:pt>
                <c:pt idx="52">
                  <c:v>4.1038612984349374</c:v>
                </c:pt>
                <c:pt idx="53">
                  <c:v>4.1264790162751961</c:v>
                </c:pt>
                <c:pt idx="54">
                  <c:v>4.1490967341154548</c:v>
                </c:pt>
                <c:pt idx="55">
                  <c:v>4.1717144519557134</c:v>
                </c:pt>
                <c:pt idx="56">
                  <c:v>4.1943321697959721</c:v>
                </c:pt>
                <c:pt idx="57">
                  <c:v>4.2169498876362308</c:v>
                </c:pt>
                <c:pt idx="58">
                  <c:v>4.2395676054764877</c:v>
                </c:pt>
                <c:pt idx="59">
                  <c:v>4.2621853233167464</c:v>
                </c:pt>
                <c:pt idx="60">
                  <c:v>4.2848030411570051</c:v>
                </c:pt>
                <c:pt idx="61">
                  <c:v>4.3074207589972637</c:v>
                </c:pt>
                <c:pt idx="62">
                  <c:v>4.3300384768375224</c:v>
                </c:pt>
                <c:pt idx="63">
                  <c:v>4.3526561946777811</c:v>
                </c:pt>
                <c:pt idx="64">
                  <c:v>4.3752739125180389</c:v>
                </c:pt>
                <c:pt idx="65">
                  <c:v>4.3978916303582976</c:v>
                </c:pt>
                <c:pt idx="66">
                  <c:v>4.4205093481985562</c:v>
                </c:pt>
                <c:pt idx="67">
                  <c:v>4.443127066038814</c:v>
                </c:pt>
                <c:pt idx="68">
                  <c:v>4.4657447838790727</c:v>
                </c:pt>
                <c:pt idx="69">
                  <c:v>4.4883625017193314</c:v>
                </c:pt>
                <c:pt idx="70">
                  <c:v>4.5109802195595901</c:v>
                </c:pt>
                <c:pt idx="71">
                  <c:v>4.5335979373998478</c:v>
                </c:pt>
                <c:pt idx="72">
                  <c:v>4.5562156552401056</c:v>
                </c:pt>
                <c:pt idx="73">
                  <c:v>4.5788333730803643</c:v>
                </c:pt>
                <c:pt idx="74">
                  <c:v>4.601451090920623</c:v>
                </c:pt>
                <c:pt idx="75">
                  <c:v>4.6240688087608817</c:v>
                </c:pt>
                <c:pt idx="76">
                  <c:v>4.6466865266011403</c:v>
                </c:pt>
                <c:pt idx="77">
                  <c:v>4.6693042444413972</c:v>
                </c:pt>
                <c:pt idx="78">
                  <c:v>4.6919219622816559</c:v>
                </c:pt>
                <c:pt idx="79">
                  <c:v>4.7145396801219146</c:v>
                </c:pt>
                <c:pt idx="80">
                  <c:v>4.7371573979621724</c:v>
                </c:pt>
                <c:pt idx="81">
                  <c:v>4.7597751158024311</c:v>
                </c:pt>
                <c:pt idx="82">
                  <c:v>4.7823928336426897</c:v>
                </c:pt>
                <c:pt idx="83">
                  <c:v>4.8050105514829484</c:v>
                </c:pt>
                <c:pt idx="84">
                  <c:v>4.8276282693232062</c:v>
                </c:pt>
                <c:pt idx="85">
                  <c:v>4.850245987163464</c:v>
                </c:pt>
                <c:pt idx="86">
                  <c:v>4.8728637050037227</c:v>
                </c:pt>
                <c:pt idx="87">
                  <c:v>4.8954814228439814</c:v>
                </c:pt>
                <c:pt idx="88">
                  <c:v>4.9180991406842391</c:v>
                </c:pt>
                <c:pt idx="89">
                  <c:v>4.9407168585244978</c:v>
                </c:pt>
                <c:pt idx="90">
                  <c:v>4.9633345763647565</c:v>
                </c:pt>
                <c:pt idx="91">
                  <c:v>4.9859522942050143</c:v>
                </c:pt>
                <c:pt idx="92">
                  <c:v>5.008570012045273</c:v>
                </c:pt>
                <c:pt idx="93">
                  <c:v>5.0311877298855308</c:v>
                </c:pt>
                <c:pt idx="94">
                  <c:v>5.0538054477257894</c:v>
                </c:pt>
                <c:pt idx="95">
                  <c:v>5.0764231655660481</c:v>
                </c:pt>
                <c:pt idx="96">
                  <c:v>5.0990408834063059</c:v>
                </c:pt>
                <c:pt idx="97">
                  <c:v>5.1216586012465637</c:v>
                </c:pt>
                <c:pt idx="98">
                  <c:v>5.1442763190868224</c:v>
                </c:pt>
                <c:pt idx="99">
                  <c:v>5.166894036927081</c:v>
                </c:pt>
                <c:pt idx="100">
                  <c:v>5.1895117547673397</c:v>
                </c:pt>
                <c:pt idx="101">
                  <c:v>5.2121294726075975</c:v>
                </c:pt>
                <c:pt idx="102">
                  <c:v>5.2347471904478562</c:v>
                </c:pt>
                <c:pt idx="115">
                  <c:v>3.6741246594700283</c:v>
                </c:pt>
              </c:numCache>
            </c:numRef>
          </c:xVal>
          <c:yVal>
            <c:numRef>
              <c:f>Sim26k!$R$35:$R$197</c:f>
              <c:numCache>
                <c:formatCode>General</c:formatCode>
                <c:ptCount val="163"/>
                <c:pt idx="0">
                  <c:v>288</c:v>
                </c:pt>
                <c:pt idx="1">
                  <c:v>282.2132152435272</c:v>
                </c:pt>
                <c:pt idx="2">
                  <c:v>276.542704368366</c:v>
                </c:pt>
                <c:pt idx="3">
                  <c:v>270.98613108311378</c:v>
                </c:pt>
                <c:pt idx="4">
                  <c:v>265.54120603947729</c:v>
                </c:pt>
                <c:pt idx="5">
                  <c:v>260.20568588904439</c:v>
                </c:pt>
                <c:pt idx="6">
                  <c:v>254.97737235900871</c:v>
                </c:pt>
                <c:pt idx="7">
                  <c:v>249.85411134646495</c:v>
                </c:pt>
                <c:pt idx="8">
                  <c:v>244.83379203090317</c:v>
                </c:pt>
                <c:pt idx="9">
                  <c:v>239.91434600453556</c:v>
                </c:pt>
                <c:pt idx="10">
                  <c:v>235.09374642009735</c:v>
                </c:pt>
                <c:pt idx="11">
                  <c:v>230.3700071557713</c:v>
                </c:pt>
                <c:pt idx="12">
                  <c:v>225.74118199689087</c:v>
                </c:pt>
                <c:pt idx="13">
                  <c:v>221.20536383408614</c:v>
                </c:pt>
                <c:pt idx="14">
                  <c:v>216.76068387754057</c:v>
                </c:pt>
                <c:pt idx="15">
                  <c:v>212.40531088703648</c:v>
                </c:pt>
                <c:pt idx="16">
                  <c:v>208.13745041747063</c:v>
                </c:pt>
                <c:pt idx="17">
                  <c:v>203.95534407952982</c:v>
                </c:pt>
                <c:pt idx="18">
                  <c:v>199.85726881522223</c:v>
                </c:pt>
                <c:pt idx="19">
                  <c:v>195.84153618796449</c:v>
                </c:pt>
                <c:pt idx="20">
                  <c:v>191.9064916869342</c:v>
                </c:pt>
                <c:pt idx="21">
                  <c:v>188.05051404539904</c:v>
                </c:pt>
                <c:pt idx="22">
                  <c:v>184.2720145727435</c:v>
                </c:pt>
                <c:pt idx="23">
                  <c:v>180.56943649991678</c:v>
                </c:pt>
                <c:pt idx="24">
                  <c:v>176.94125433803271</c:v>
                </c:pt>
                <c:pt idx="25">
                  <c:v>173.38597324985733</c:v>
                </c:pt>
                <c:pt idx="26">
                  <c:v>169.90212843392513</c:v>
                </c:pt>
                <c:pt idx="27" formatCode="0.0">
                  <c:v>16.990212843392513</c:v>
                </c:pt>
                <c:pt idx="28" formatCode="0.0">
                  <c:v>-117.39895145611051</c:v>
                </c:pt>
                <c:pt idx="29" formatCode="0.0">
                  <c:v>-249.4872091544037</c:v>
                </c:pt>
                <c:pt idx="30" formatCode="0.0">
                  <c:v>-377.20270770061859</c:v>
                </c:pt>
                <c:pt idx="31" formatCode="0.0">
                  <c:v>-498.54941663732995</c:v>
                </c:pt>
                <c:pt idx="32" formatCode="0.0">
                  <c:v>-611.63829781768754</c:v>
                </c:pt>
                <c:pt idx="33" formatCode="0.0">
                  <c:v>-714.71668616259944</c:v>
                </c:pt>
                <c:pt idx="34" formatCode="0.0">
                  <c:v>-806.19542441277338</c:v>
                </c:pt>
                <c:pt idx="35" formatCode="0.0">
                  <c:v>-884.67333222906257</c:v>
                </c:pt>
                <c:pt idx="36" formatCode="0.0">
                  <c:v>-948.95863337588355</c:v>
                </c:pt>
                <c:pt idx="37" formatCode="0.0">
                  <c:v>-998.0870138816158</c:v>
                </c:pt>
                <c:pt idx="38" formatCode="0.0">
                  <c:v>-1031.3360382134642</c:v>
                </c:pt>
                <c:pt idx="39" formatCode="0.0">
                  <c:v>-1048.2357087630228</c:v>
                </c:pt>
                <c:pt idx="40" formatCode="0.0">
                  <c:v>-1048.5750153816459</c:v>
                </c:pt>
                <c:pt idx="41" formatCode="0.0">
                  <c:v>-1032.4043853536359</c:v>
                </c:pt>
                <c:pt idx="42" formatCode="0.0">
                  <c:v>-1000.0340090406353</c:v>
                </c:pt>
                <c:pt idx="43" formatCode="0.0">
                  <c:v>-952.02808144759251</c:v>
                </c:pt>
                <c:pt idx="44" formatCode="0.0">
                  <c:v>-889.19506412494115</c:v>
                </c:pt>
                <c:pt idx="45" formatCode="0.0">
                  <c:v>-812.57413412594599</c:v>
                </c:pt>
                <c:pt idx="46" formatCode="0.0">
                  <c:v>-723.41804620783671</c:v>
                </c:pt>
                <c:pt idx="47" formatCode="0.0">
                  <c:v>-623.17269017359979</c:v>
                </c:pt>
                <c:pt idx="48" formatCode="0.0">
                  <c:v>-513.45367633379021</c:v>
                </c:pt>
                <c:pt idx="49" formatCode="0.0">
                  <c:v>-396.02032773570619</c:v>
                </c:pt>
                <c:pt idx="50" formatCode="0.0">
                  <c:v>-272.74749736007573</c:v>
                </c:pt>
                <c:pt idx="51" formatCode="0.0">
                  <c:v>-145.59566132080064</c:v>
                </c:pt>
                <c:pt idx="52" formatCode="0.0">
                  <c:v>-16.579764727055739</c:v>
                </c:pt>
                <c:pt idx="53" formatCode="0.0">
                  <c:v>112.2626851000697</c:v>
                </c:pt>
                <c:pt idx="54" formatCode="0.0">
                  <c:v>238.90377318047101</c:v>
                </c:pt>
                <c:pt idx="55" formatCode="0.0">
                  <c:v>361.35707212090136</c:v>
                </c:pt>
                <c:pt idx="56" formatCode="0.0">
                  <c:v>477.70877676743748</c:v>
                </c:pt>
                <c:pt idx="57" formatCode="0.0">
                  <c:v>586.14759064112172</c:v>
                </c:pt>
                <c:pt idx="58" formatCode="0.0">
                  <c:v>684.99289782744768</c:v>
                </c:pt>
                <c:pt idx="59" formatCode="0.0">
                  <c:v>772.72078255466465</c:v>
                </c:pt>
                <c:pt idx="60" formatCode="0.0">
                  <c:v>847.98749405614637</c:v>
                </c:pt>
                <c:pt idx="61" formatCode="0.0">
                  <c:v>909.64999588874855</c:v>
                </c:pt>
                <c:pt idx="62" formatCode="0.0">
                  <c:v>956.783285996617</c:v>
                </c:pt>
                <c:pt idx="63" formatCode="0.0">
                  <c:v>988.6942257078548</c:v>
                </c:pt>
                <c:pt idx="64" formatCode="0.0">
                  <c:v>1004.9316716965944</c:v>
                </c:pt>
                <c:pt idx="65" formatCode="0.0">
                  <c:v>1005.2927638428652</c:v>
                </c:pt>
                <c:pt idx="66" formatCode="0.0">
                  <c:v>989.82528293957125</c:v>
                </c:pt>
                <c:pt idx="67" formatCode="0.0">
                  <c:v>958.82605436210872</c:v>
                </c:pt>
                <c:pt idx="68" formatCode="0.0">
                  <c:v>912.83543614907057</c:v>
                </c:pt>
                <c:pt idx="69" formatCode="0.0">
                  <c:v>852.62799146013367</c:v>
                </c:pt>
                <c:pt idx="70" formatCode="0.0">
                  <c:v>779.19950511386071</c:v>
                </c:pt>
                <c:pt idx="71" formatCode="0.0">
                  <c:v>693.75056092921511</c:v>
                </c:pt>
                <c:pt idx="72" formatCode="0.0">
                  <c:v>597.66695001155688</c:v>
                </c:pt>
                <c:pt idx="73" formatCode="0.0">
                  <c:v>492.49722910784385</c:v>
                </c:pt>
                <c:pt idx="74" formatCode="0.0">
                  <c:v>379.92779195044545</c:v>
                </c:pt>
                <c:pt idx="75" formatCode="0.0">
                  <c:v>261.75585444238624</c:v>
                </c:pt>
                <c:pt idx="76" formatCode="0.0">
                  <c:v>139.86078603143778</c:v>
                </c:pt>
                <c:pt idx="77" formatCode="0.0">
                  <c:v>16.17424420212491</c:v>
                </c:pt>
                <c:pt idx="78" formatCode="0.0">
                  <c:v>-107.35041368028271</c:v>
                </c:pt>
                <c:pt idx="79" formatCode="0.0">
                  <c:v>-228.76895715942769</c:v>
                </c:pt>
                <c:pt idx="80" formatCode="0.0">
                  <c:v>-346.17686196969095</c:v>
                </c:pt>
                <c:pt idx="81" formatCode="0.0">
                  <c:v>-457.73916120265505</c:v>
                </c:pt>
                <c:pt idx="82" formatCode="0.0">
                  <c:v>-561.71910083265345</c:v>
                </c:pt>
                <c:pt idx="83" formatCode="0.0">
                  <c:v>-656.50515247449266</c:v>
                </c:pt>
                <c:pt idx="84" formatCode="0.0">
                  <c:v>-740.63596361600491</c:v>
                </c:pt>
                <c:pt idx="85" formatCode="0.0">
                  <c:v>-812.82285945412445</c:v>
                </c:pt>
                <c:pt idx="86" formatCode="0.0">
                  <c:v>-871.96955031026209</c:v>
                </c:pt>
                <c:pt idx="87" formatCode="0.0">
                  <c:v>-917.18874376151064</c:v>
                </c:pt>
                <c:pt idx="88" formatCode="0.0">
                  <c:v>-947.8154103696055</c:v>
                </c:pt>
                <c:pt idx="89" formatCode="0.0">
                  <c:v>-963.41650542113348</c:v>
                </c:pt>
                <c:pt idx="90" formatCode="0.0">
                  <c:v>-963.797005554512</c:v>
                </c:pt>
                <c:pt idx="91" formatCode="0.0">
                  <c:v>-949.00217764305057</c:v>
                </c:pt>
                <c:pt idx="92" formatCode="0.0">
                  <c:v>-919.31605690114066</c:v>
                </c:pt>
                <c:pt idx="93" formatCode="0.0">
                  <c:v>-875.25617094028655</c:v>
                </c:pt>
                <c:pt idx="94" formatCode="0.0">
                  <c:v>-817.56460548186328</c:v>
                </c:pt>
                <c:pt idx="95" formatCode="0.0">
                  <c:v>-747.19556470826092</c:v>
                </c:pt>
                <c:pt idx="96" formatCode="0.0">
                  <c:v>-665.29963390737385</c:v>
                </c:pt>
                <c:pt idx="97" formatCode="0.0">
                  <c:v>-573.20500328528112</c:v>
                </c:pt>
                <c:pt idx="98" formatCode="0.0">
                  <c:v>-472.39595879363787</c:v>
                </c:pt>
                <c:pt idx="99" formatCode="0.0">
                  <c:v>-364.48898781646699</c:v>
                </c:pt>
                <c:pt idx="100" formatCode="0.0">
                  <c:v>-251.20688394139535</c:v>
                </c:pt>
                <c:pt idx="101" formatCode="0.0">
                  <c:v>-134.35126524887232</c:v>
                </c:pt>
                <c:pt idx="102" formatCode="0.0">
                  <c:v>-15.773944134912057</c:v>
                </c:pt>
                <c:pt idx="115" formatCode="0.000">
                  <c:v>-402.60393400005245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BC-4556-914E-F15181D9E9DD}"/>
            </c:ext>
          </c:extLst>
        </c:ser>
        <c:ser>
          <c:idx val="2"/>
          <c:order val="2"/>
          <c:tx>
            <c:strRef>
              <c:f>Sim26k!$S$33:$S$34</c:f>
              <c:strCache>
                <c:ptCount val="2"/>
                <c:pt idx="0">
                  <c:v>Uc</c:v>
                </c:pt>
                <c:pt idx="1">
                  <c:v>[V]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Sim26k!$P$35:$P$197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0.13609301355494155</c:v>
                </c:pt>
                <c:pt idx="2">
                  <c:v>0.2721860271098831</c:v>
                </c:pt>
                <c:pt idx="3">
                  <c:v>0.40827904066482457</c:v>
                </c:pt>
                <c:pt idx="4">
                  <c:v>0.5443720542197662</c:v>
                </c:pt>
                <c:pt idx="5">
                  <c:v>0.68046506777470772</c:v>
                </c:pt>
                <c:pt idx="6">
                  <c:v>0.81655808132964924</c:v>
                </c:pt>
                <c:pt idx="7">
                  <c:v>0.95265109488459088</c:v>
                </c:pt>
                <c:pt idx="8">
                  <c:v>1.0887441084395324</c:v>
                </c:pt>
                <c:pt idx="9">
                  <c:v>1.2248371219944738</c:v>
                </c:pt>
                <c:pt idx="10">
                  <c:v>1.3609301355494154</c:v>
                </c:pt>
                <c:pt idx="11">
                  <c:v>1.4970231491043571</c:v>
                </c:pt>
                <c:pt idx="12">
                  <c:v>1.6331161626592985</c:v>
                </c:pt>
                <c:pt idx="13">
                  <c:v>1.7692091762142401</c:v>
                </c:pt>
                <c:pt idx="14">
                  <c:v>1.9053021897691818</c:v>
                </c:pt>
                <c:pt idx="15">
                  <c:v>2.0413952033241234</c:v>
                </c:pt>
                <c:pt idx="16">
                  <c:v>2.1774882168790648</c:v>
                </c:pt>
                <c:pt idx="17">
                  <c:v>2.3135812304340058</c:v>
                </c:pt>
                <c:pt idx="18">
                  <c:v>2.4496742439889472</c:v>
                </c:pt>
                <c:pt idx="19">
                  <c:v>2.5857672575438886</c:v>
                </c:pt>
                <c:pt idx="20">
                  <c:v>2.72186027109883</c:v>
                </c:pt>
                <c:pt idx="21">
                  <c:v>2.8579532846537714</c:v>
                </c:pt>
                <c:pt idx="22">
                  <c:v>2.9940462982087128</c:v>
                </c:pt>
                <c:pt idx="23">
                  <c:v>3.1301393117636542</c:v>
                </c:pt>
                <c:pt idx="24">
                  <c:v>3.2662323253185952</c:v>
                </c:pt>
                <c:pt idx="25">
                  <c:v>3.4023253388735366</c:v>
                </c:pt>
                <c:pt idx="26">
                  <c:v>3.538418352428478</c:v>
                </c:pt>
                <c:pt idx="27">
                  <c:v>3.538418352428478</c:v>
                </c:pt>
                <c:pt idx="28">
                  <c:v>3.5610360702687367</c:v>
                </c:pt>
                <c:pt idx="29">
                  <c:v>3.5836537881089949</c:v>
                </c:pt>
                <c:pt idx="30">
                  <c:v>3.6062715059492532</c:v>
                </c:pt>
                <c:pt idx="31">
                  <c:v>3.6288892237895118</c:v>
                </c:pt>
                <c:pt idx="32">
                  <c:v>3.6515069416297701</c:v>
                </c:pt>
                <c:pt idx="33">
                  <c:v>3.6741246594700283</c:v>
                </c:pt>
                <c:pt idx="34">
                  <c:v>3.696742377310287</c:v>
                </c:pt>
                <c:pt idx="35">
                  <c:v>3.7193600951505452</c:v>
                </c:pt>
                <c:pt idx="36">
                  <c:v>3.7419778129908035</c:v>
                </c:pt>
                <c:pt idx="37">
                  <c:v>3.7645955308310621</c:v>
                </c:pt>
                <c:pt idx="38">
                  <c:v>3.7872132486713204</c:v>
                </c:pt>
                <c:pt idx="39">
                  <c:v>3.809830966511579</c:v>
                </c:pt>
                <c:pt idx="40">
                  <c:v>3.8324486843518373</c:v>
                </c:pt>
                <c:pt idx="41">
                  <c:v>3.8550664021920955</c:v>
                </c:pt>
                <c:pt idx="42">
                  <c:v>3.8776841200323542</c:v>
                </c:pt>
                <c:pt idx="43">
                  <c:v>3.9003018378726124</c:v>
                </c:pt>
                <c:pt idx="44">
                  <c:v>3.9229195557128711</c:v>
                </c:pt>
                <c:pt idx="45">
                  <c:v>3.9455372735531289</c:v>
                </c:pt>
                <c:pt idx="46">
                  <c:v>3.9681549913933871</c:v>
                </c:pt>
                <c:pt idx="47">
                  <c:v>3.9907727092336458</c:v>
                </c:pt>
                <c:pt idx="48">
                  <c:v>4.0133904270739045</c:v>
                </c:pt>
                <c:pt idx="49">
                  <c:v>4.0360081449141632</c:v>
                </c:pt>
                <c:pt idx="50">
                  <c:v>4.0586258627544218</c:v>
                </c:pt>
                <c:pt idx="51">
                  <c:v>4.0812435805946787</c:v>
                </c:pt>
                <c:pt idx="52">
                  <c:v>4.1038612984349374</c:v>
                </c:pt>
                <c:pt idx="53">
                  <c:v>4.1264790162751961</c:v>
                </c:pt>
                <c:pt idx="54">
                  <c:v>4.1490967341154548</c:v>
                </c:pt>
                <c:pt idx="55">
                  <c:v>4.1717144519557134</c:v>
                </c:pt>
                <c:pt idx="56">
                  <c:v>4.1943321697959721</c:v>
                </c:pt>
                <c:pt idx="57">
                  <c:v>4.2169498876362308</c:v>
                </c:pt>
                <c:pt idx="58">
                  <c:v>4.2395676054764877</c:v>
                </c:pt>
                <c:pt idx="59">
                  <c:v>4.2621853233167464</c:v>
                </c:pt>
                <c:pt idx="60">
                  <c:v>4.2848030411570051</c:v>
                </c:pt>
                <c:pt idx="61">
                  <c:v>4.3074207589972637</c:v>
                </c:pt>
                <c:pt idx="62">
                  <c:v>4.3300384768375224</c:v>
                </c:pt>
                <c:pt idx="63">
                  <c:v>4.3526561946777811</c:v>
                </c:pt>
                <c:pt idx="64">
                  <c:v>4.3752739125180389</c:v>
                </c:pt>
                <c:pt idx="65">
                  <c:v>4.3978916303582976</c:v>
                </c:pt>
                <c:pt idx="66">
                  <c:v>4.4205093481985562</c:v>
                </c:pt>
                <c:pt idx="67">
                  <c:v>4.443127066038814</c:v>
                </c:pt>
                <c:pt idx="68">
                  <c:v>4.4657447838790727</c:v>
                </c:pt>
                <c:pt idx="69">
                  <c:v>4.4883625017193314</c:v>
                </c:pt>
                <c:pt idx="70">
                  <c:v>4.5109802195595901</c:v>
                </c:pt>
                <c:pt idx="71">
                  <c:v>4.5335979373998478</c:v>
                </c:pt>
                <c:pt idx="72">
                  <c:v>4.5562156552401056</c:v>
                </c:pt>
                <c:pt idx="73">
                  <c:v>4.5788333730803643</c:v>
                </c:pt>
                <c:pt idx="74">
                  <c:v>4.601451090920623</c:v>
                </c:pt>
                <c:pt idx="75">
                  <c:v>4.6240688087608817</c:v>
                </c:pt>
                <c:pt idx="76">
                  <c:v>4.6466865266011403</c:v>
                </c:pt>
                <c:pt idx="77">
                  <c:v>4.6693042444413972</c:v>
                </c:pt>
                <c:pt idx="78">
                  <c:v>4.6919219622816559</c:v>
                </c:pt>
                <c:pt idx="79">
                  <c:v>4.7145396801219146</c:v>
                </c:pt>
                <c:pt idx="80">
                  <c:v>4.7371573979621724</c:v>
                </c:pt>
                <c:pt idx="81">
                  <c:v>4.7597751158024311</c:v>
                </c:pt>
                <c:pt idx="82">
                  <c:v>4.7823928336426897</c:v>
                </c:pt>
                <c:pt idx="83">
                  <c:v>4.8050105514829484</c:v>
                </c:pt>
                <c:pt idx="84">
                  <c:v>4.8276282693232062</c:v>
                </c:pt>
                <c:pt idx="85">
                  <c:v>4.850245987163464</c:v>
                </c:pt>
                <c:pt idx="86">
                  <c:v>4.8728637050037227</c:v>
                </c:pt>
                <c:pt idx="87">
                  <c:v>4.8954814228439814</c:v>
                </c:pt>
                <c:pt idx="88">
                  <c:v>4.9180991406842391</c:v>
                </c:pt>
                <c:pt idx="89">
                  <c:v>4.9407168585244978</c:v>
                </c:pt>
                <c:pt idx="90">
                  <c:v>4.9633345763647565</c:v>
                </c:pt>
                <c:pt idx="91">
                  <c:v>4.9859522942050143</c:v>
                </c:pt>
                <c:pt idx="92">
                  <c:v>5.008570012045273</c:v>
                </c:pt>
                <c:pt idx="93">
                  <c:v>5.0311877298855308</c:v>
                </c:pt>
                <c:pt idx="94">
                  <c:v>5.0538054477257894</c:v>
                </c:pt>
                <c:pt idx="95">
                  <c:v>5.0764231655660481</c:v>
                </c:pt>
                <c:pt idx="96">
                  <c:v>5.0990408834063059</c:v>
                </c:pt>
                <c:pt idx="97">
                  <c:v>5.1216586012465637</c:v>
                </c:pt>
                <c:pt idx="98">
                  <c:v>5.1442763190868224</c:v>
                </c:pt>
                <c:pt idx="99">
                  <c:v>5.166894036927081</c:v>
                </c:pt>
                <c:pt idx="100">
                  <c:v>5.1895117547673397</c:v>
                </c:pt>
                <c:pt idx="101">
                  <c:v>5.2121294726075975</c:v>
                </c:pt>
                <c:pt idx="102">
                  <c:v>5.2347471904478562</c:v>
                </c:pt>
                <c:pt idx="115">
                  <c:v>3.6741246594700283</c:v>
                </c:pt>
              </c:numCache>
            </c:numRef>
          </c:xVal>
          <c:yVal>
            <c:numRef>
              <c:f>Sim26k!$S$35:$S$197</c:f>
              <c:numCache>
                <c:formatCode>General</c:formatCode>
                <c:ptCount val="1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0.0">
                  <c:v>0</c:v>
                </c:pt>
                <c:pt idx="28" formatCode="0.0">
                  <c:v>134.45365018070052</c:v>
                </c:pt>
                <c:pt idx="29" formatCode="0.0">
                  <c:v>266.7910949424512</c:v>
                </c:pt>
                <c:pt idx="30" formatCode="0.0">
                  <c:v>394.93593651936629</c:v>
                </c:pt>
                <c:pt idx="31" formatCode="0.0">
                  <c:v>516.88477816512864</c:v>
                </c:pt>
                <c:pt idx="32" formatCode="0.0">
                  <c:v>630.73851984553664</c:v>
                </c:pt>
                <c:pt idx="33" formatCode="0.0">
                  <c:v>734.73190648812454</c:v>
                </c:pt>
                <c:pt idx="34" formatCode="0.0">
                  <c:v>827.26086946515602</c:v>
                </c:pt>
                <c:pt idx="35" formatCode="0.0">
                  <c:v>906.90723827652164</c:v>
                </c:pt>
                <c:pt idx="36" formatCode="0.0">
                  <c:v>972.46044222734349</c:v>
                </c:pt>
                <c:pt idx="37" formatCode="0.0">
                  <c:v>1022.9358705650872</c:v>
                </c:pt>
                <c:pt idx="38" formatCode="0.0">
                  <c:v>1057.589613266781</c:v>
                </c:pt>
                <c:pt idx="39" formatCode="0.0">
                  <c:v>1075.9293625856462</c:v>
                </c:pt>
                <c:pt idx="40" formatCode="0.0">
                  <c:v>1077.7213166520642</c:v>
                </c:pt>
                <c:pt idx="41" formatCode="0.0">
                  <c:v>1062.9929899020449</c:v>
                </c:pt>
                <c:pt idx="42" formatCode="0.0">
                  <c:v>1032.0318998700484</c:v>
                </c:pt>
                <c:pt idx="43" formatCode="0.0">
                  <c:v>985.38016490826283</c:v>
                </c:pt>
                <c:pt idx="44" formatCode="0.0">
                  <c:v>923.8251116565134</c:v>
                </c:pt>
                <c:pt idx="45" formatCode="0.0">
                  <c:v>848.38605357677613</c:v>
                </c:pt>
                <c:pt idx="46" formatCode="0.0">
                  <c:v>760.29746160589616</c:v>
                </c:pt>
                <c:pt idx="47" formatCode="0.0">
                  <c:v>660.98880403825319</c:v>
                </c:pt>
                <c:pt idx="48" formatCode="0.0">
                  <c:v>552.0613842566629</c:v>
                </c:pt>
                <c:pt idx="49" formatCode="0.0">
                  <c:v>435.26255108907122</c:v>
                </c:pt>
                <c:pt idx="50" formatCode="0.0">
                  <c:v>312.45769667195918</c:v>
                </c:pt>
                <c:pt idx="51" formatCode="0.0">
                  <c:v>185.6004901377388</c:v>
                </c:pt>
                <c:pt idx="52" formatCode="0.0">
                  <c:v>56.701821708903211</c:v>
                </c:pt>
                <c:pt idx="53" formatCode="0.0">
                  <c:v>-72.202049513147273</c:v>
                </c:pt>
                <c:pt idx="54" formatCode="0.0">
                  <c:v>-199.08163990084191</c:v>
                </c:pt>
                <c:pt idx="55" formatCode="0.0">
                  <c:v>-321.94617072933511</c:v>
                </c:pt>
                <c:pt idx="56" formatCode="0.0">
                  <c:v>-438.87478070753423</c:v>
                </c:pt>
                <c:pt idx="57" formatCode="0.0">
                  <c:v>-548.04653261457008</c:v>
                </c:pt>
                <c:pt idx="58" formatCode="0.0">
                  <c:v>-647.76874567740674</c:v>
                </c:pt>
                <c:pt idx="59" formatCode="0.0">
                  <c:v>-736.50321326216294</c:v>
                </c:pt>
                <c:pt idx="60" formatCode="0.0">
                  <c:v>-812.88990022858604</c:v>
                </c:pt>
                <c:pt idx="61" formatCode="0.0">
                  <c:v>-875.76775534346575</c:v>
                </c:pt>
                <c:pt idx="62" formatCode="0.0">
                  <c:v>-924.19232079721337</c:v>
                </c:pt>
                <c:pt idx="63" formatCode="0.0">
                  <c:v>-957.44987236509928</c:v>
                </c:pt>
                <c:pt idx="64" formatCode="0.0">
                  <c:v>-975.06787927359233</c:v>
                </c:pt>
                <c:pt idx="65" formatCode="0.0">
                  <c:v>-976.8216314852873</c:v>
                </c:pt>
                <c:pt idx="66" formatCode="0.0">
                  <c:v>-962.73694296901715</c:v>
                </c:pt>
                <c:pt idx="67" formatCode="0.0">
                  <c:v>-933.0889016094543</c:v>
                </c:pt>
                <c:pt idx="68" formatCode="0.0">
                  <c:v>-888.3966987511568</c:v>
                </c:pt>
                <c:pt idx="69" formatCode="0.0">
                  <c:v>-829.41463298323401</c:v>
                </c:pt>
                <c:pt idx="70" formatCode="0.0">
                  <c:v>-757.11944268507898</c:v>
                </c:pt>
                <c:pt idx="71" formatCode="0.0">
                  <c:v>-672.69417913332086</c:v>
                </c:pt>
                <c:pt idx="72" formatCode="0.0">
                  <c:v>-577.5088857223916</c:v>
                </c:pt>
                <c:pt idx="73" formatCode="0.0">
                  <c:v>-473.09839824145411</c:v>
                </c:pt>
                <c:pt idx="74" formatCode="0.0">
                  <c:v>-361.13762541598032</c:v>
                </c:pt>
                <c:pt idx="75" formatCode="0.0">
                  <c:v>-243.4147073833831</c:v>
                </c:pt>
                <c:pt idx="76" formatCode="0.0">
                  <c:v>-121.80248184275656</c:v>
                </c:pt>
                <c:pt idx="77" formatCode="0.0">
                  <c:v>1.7712871844185512</c:v>
                </c:pt>
                <c:pt idx="78" formatCode="0.0">
                  <c:v>125.35444509628871</c:v>
                </c:pt>
                <c:pt idx="79" formatCode="0.0">
                  <c:v>247.00126362525094</c:v>
                </c:pt>
                <c:pt idx="80" formatCode="0.0">
                  <c:v>364.80305279592255</c:v>
                </c:pt>
                <c:pt idx="81" formatCode="0.0">
                  <c:v>476.91808666117453</c:v>
                </c:pt>
                <c:pt idx="82" formatCode="0.0">
                  <c:v>581.60037397557016</c:v>
                </c:pt>
                <c:pt idx="83" formatCode="0.0">
                  <c:v>677.22682472975089</c:v>
                </c:pt>
                <c:pt idx="84" formatCode="0.0">
                  <c:v>762.32239023727482</c:v>
                </c:pt>
                <c:pt idx="85" formatCode="0.0">
                  <c:v>835.58278779203465</c:v>
                </c:pt>
                <c:pt idx="86" formatCode="0.0">
                  <c:v>895.89446025290215</c:v>
                </c:pt>
                <c:pt idx="87" formatCode="0.0">
                  <c:v>942.35146562313787</c:v>
                </c:pt>
                <c:pt idx="88" formatCode="0.0">
                  <c:v>974.26904105321034</c:v>
                </c:pt>
                <c:pt idx="89" formatCode="0.0">
                  <c:v>991.19363891435034</c:v>
                </c:pt>
                <c:pt idx="90" formatCode="0.0">
                  <c:v>992.90928881540731</c:v>
                </c:pt>
                <c:pt idx="91" formatCode="0.0">
                  <c:v>979.44019777213953</c:v>
                </c:pt>
                <c:pt idx="92" formatCode="0.0">
                  <c:v>951.04956026034631</c:v>
                </c:pt>
                <c:pt idx="93" formatCode="0.0">
                  <c:v>908.23460965114919</c:v>
                </c:pt>
                <c:pt idx="94" formatCode="0.0">
                  <c:v>851.718001596421</c:v>
                </c:pt>
                <c:pt idx="95" formatCode="0.0">
                  <c:v>782.43567737726528</c:v>
                </c:pt>
                <c:pt idx="96" formatCode="0.0">
                  <c:v>701.52141014952485</c:v>
                </c:pt>
                <c:pt idx="97" formatCode="0.0">
                  <c:v>610.28828856146606</c:v>
                </c:pt>
                <c:pt idx="98" formatCode="0.0">
                  <c:v>510.20743957991539</c:v>
                </c:pt>
                <c:pt idx="99" formatCode="0.0">
                  <c:v>402.8843348105857</c:v>
                </c:pt>
                <c:pt idx="100" formatCode="0.0">
                  <c:v>290.0330614844832</c:v>
                </c:pt>
                <c:pt idx="101" formatCode="0.0">
                  <c:v>173.44897004294518</c:v>
                </c:pt>
                <c:pt idx="102" formatCode="0.0">
                  <c:v>54.980134425543604</c:v>
                </c:pt>
                <c:pt idx="104" formatCode="0.0">
                  <c:v>0</c:v>
                </c:pt>
                <c:pt idx="115" formatCode="0.0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BC-4556-914E-F15181D9E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62304"/>
        <c:axId val="178172672"/>
      </c:scatterChart>
      <c:scatterChart>
        <c:scatterStyle val="lineMarker"/>
        <c:varyColors val="0"/>
        <c:ser>
          <c:idx val="0"/>
          <c:order val="0"/>
          <c:tx>
            <c:strRef>
              <c:f>Sim26k!$Q$33:$Q$34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Sim26k!$P$35:$P$197</c:f>
              <c:numCache>
                <c:formatCode>General</c:formatCode>
                <c:ptCount val="163"/>
                <c:pt idx="0">
                  <c:v>0</c:v>
                </c:pt>
                <c:pt idx="1">
                  <c:v>0.13609301355494155</c:v>
                </c:pt>
                <c:pt idx="2">
                  <c:v>0.2721860271098831</c:v>
                </c:pt>
                <c:pt idx="3">
                  <c:v>0.40827904066482457</c:v>
                </c:pt>
                <c:pt idx="4">
                  <c:v>0.5443720542197662</c:v>
                </c:pt>
                <c:pt idx="5">
                  <c:v>0.68046506777470772</c:v>
                </c:pt>
                <c:pt idx="6">
                  <c:v>0.81655808132964924</c:v>
                </c:pt>
                <c:pt idx="7">
                  <c:v>0.95265109488459088</c:v>
                </c:pt>
                <c:pt idx="8">
                  <c:v>1.0887441084395324</c:v>
                </c:pt>
                <c:pt idx="9">
                  <c:v>1.2248371219944738</c:v>
                </c:pt>
                <c:pt idx="10">
                  <c:v>1.3609301355494154</c:v>
                </c:pt>
                <c:pt idx="11">
                  <c:v>1.4970231491043571</c:v>
                </c:pt>
                <c:pt idx="12">
                  <c:v>1.6331161626592985</c:v>
                </c:pt>
                <c:pt idx="13">
                  <c:v>1.7692091762142401</c:v>
                </c:pt>
                <c:pt idx="14">
                  <c:v>1.9053021897691818</c:v>
                </c:pt>
                <c:pt idx="15">
                  <c:v>2.0413952033241234</c:v>
                </c:pt>
                <c:pt idx="16">
                  <c:v>2.1774882168790648</c:v>
                </c:pt>
                <c:pt idx="17">
                  <c:v>2.3135812304340058</c:v>
                </c:pt>
                <c:pt idx="18">
                  <c:v>2.4496742439889472</c:v>
                </c:pt>
                <c:pt idx="19">
                  <c:v>2.5857672575438886</c:v>
                </c:pt>
                <c:pt idx="20">
                  <c:v>2.72186027109883</c:v>
                </c:pt>
                <c:pt idx="21">
                  <c:v>2.8579532846537714</c:v>
                </c:pt>
                <c:pt idx="22">
                  <c:v>2.9940462982087128</c:v>
                </c:pt>
                <c:pt idx="23">
                  <c:v>3.1301393117636542</c:v>
                </c:pt>
                <c:pt idx="24">
                  <c:v>3.2662323253185952</c:v>
                </c:pt>
                <c:pt idx="25">
                  <c:v>3.4023253388735366</c:v>
                </c:pt>
                <c:pt idx="26">
                  <c:v>3.538418352428478</c:v>
                </c:pt>
                <c:pt idx="27">
                  <c:v>3.538418352428478</c:v>
                </c:pt>
                <c:pt idx="28">
                  <c:v>3.5610360702687367</c:v>
                </c:pt>
                <c:pt idx="29">
                  <c:v>3.5836537881089949</c:v>
                </c:pt>
                <c:pt idx="30">
                  <c:v>3.6062715059492532</c:v>
                </c:pt>
                <c:pt idx="31">
                  <c:v>3.6288892237895118</c:v>
                </c:pt>
                <c:pt idx="32">
                  <c:v>3.6515069416297701</c:v>
                </c:pt>
                <c:pt idx="33">
                  <c:v>3.6741246594700283</c:v>
                </c:pt>
                <c:pt idx="34">
                  <c:v>3.696742377310287</c:v>
                </c:pt>
                <c:pt idx="35">
                  <c:v>3.7193600951505452</c:v>
                </c:pt>
                <c:pt idx="36">
                  <c:v>3.7419778129908035</c:v>
                </c:pt>
                <c:pt idx="37">
                  <c:v>3.7645955308310621</c:v>
                </c:pt>
                <c:pt idx="38">
                  <c:v>3.7872132486713204</c:v>
                </c:pt>
                <c:pt idx="39">
                  <c:v>3.809830966511579</c:v>
                </c:pt>
                <c:pt idx="40">
                  <c:v>3.8324486843518373</c:v>
                </c:pt>
                <c:pt idx="41">
                  <c:v>3.8550664021920955</c:v>
                </c:pt>
                <c:pt idx="42">
                  <c:v>3.8776841200323542</c:v>
                </c:pt>
                <c:pt idx="43">
                  <c:v>3.9003018378726124</c:v>
                </c:pt>
                <c:pt idx="44">
                  <c:v>3.9229195557128711</c:v>
                </c:pt>
                <c:pt idx="45">
                  <c:v>3.9455372735531289</c:v>
                </c:pt>
                <c:pt idx="46">
                  <c:v>3.9681549913933871</c:v>
                </c:pt>
                <c:pt idx="47">
                  <c:v>3.9907727092336458</c:v>
                </c:pt>
                <c:pt idx="48">
                  <c:v>4.0133904270739045</c:v>
                </c:pt>
                <c:pt idx="49">
                  <c:v>4.0360081449141632</c:v>
                </c:pt>
                <c:pt idx="50">
                  <c:v>4.0586258627544218</c:v>
                </c:pt>
                <c:pt idx="51">
                  <c:v>4.0812435805946787</c:v>
                </c:pt>
                <c:pt idx="52">
                  <c:v>4.1038612984349374</c:v>
                </c:pt>
                <c:pt idx="53">
                  <c:v>4.1264790162751961</c:v>
                </c:pt>
                <c:pt idx="54">
                  <c:v>4.1490967341154548</c:v>
                </c:pt>
                <c:pt idx="55">
                  <c:v>4.1717144519557134</c:v>
                </c:pt>
                <c:pt idx="56">
                  <c:v>4.1943321697959721</c:v>
                </c:pt>
                <c:pt idx="57">
                  <c:v>4.2169498876362308</c:v>
                </c:pt>
                <c:pt idx="58">
                  <c:v>4.2395676054764877</c:v>
                </c:pt>
                <c:pt idx="59">
                  <c:v>4.2621853233167464</c:v>
                </c:pt>
                <c:pt idx="60">
                  <c:v>4.2848030411570051</c:v>
                </c:pt>
                <c:pt idx="61">
                  <c:v>4.3074207589972637</c:v>
                </c:pt>
                <c:pt idx="62">
                  <c:v>4.3300384768375224</c:v>
                </c:pt>
                <c:pt idx="63">
                  <c:v>4.3526561946777811</c:v>
                </c:pt>
                <c:pt idx="64">
                  <c:v>4.3752739125180389</c:v>
                </c:pt>
                <c:pt idx="65">
                  <c:v>4.3978916303582976</c:v>
                </c:pt>
                <c:pt idx="66">
                  <c:v>4.4205093481985562</c:v>
                </c:pt>
                <c:pt idx="67">
                  <c:v>4.443127066038814</c:v>
                </c:pt>
                <c:pt idx="68">
                  <c:v>4.4657447838790727</c:v>
                </c:pt>
                <c:pt idx="69">
                  <c:v>4.4883625017193314</c:v>
                </c:pt>
                <c:pt idx="70">
                  <c:v>4.5109802195595901</c:v>
                </c:pt>
                <c:pt idx="71">
                  <c:v>4.5335979373998478</c:v>
                </c:pt>
                <c:pt idx="72">
                  <c:v>4.5562156552401056</c:v>
                </c:pt>
                <c:pt idx="73">
                  <c:v>4.5788333730803643</c:v>
                </c:pt>
                <c:pt idx="74">
                  <c:v>4.601451090920623</c:v>
                </c:pt>
                <c:pt idx="75">
                  <c:v>4.6240688087608817</c:v>
                </c:pt>
                <c:pt idx="76">
                  <c:v>4.6466865266011403</c:v>
                </c:pt>
                <c:pt idx="77">
                  <c:v>4.6693042444413972</c:v>
                </c:pt>
                <c:pt idx="78">
                  <c:v>4.6919219622816559</c:v>
                </c:pt>
                <c:pt idx="79">
                  <c:v>4.7145396801219146</c:v>
                </c:pt>
                <c:pt idx="80">
                  <c:v>4.7371573979621724</c:v>
                </c:pt>
                <c:pt idx="81">
                  <c:v>4.7597751158024311</c:v>
                </c:pt>
                <c:pt idx="82">
                  <c:v>4.7823928336426897</c:v>
                </c:pt>
                <c:pt idx="83">
                  <c:v>4.8050105514829484</c:v>
                </c:pt>
                <c:pt idx="84">
                  <c:v>4.8276282693232062</c:v>
                </c:pt>
                <c:pt idx="85">
                  <c:v>4.850245987163464</c:v>
                </c:pt>
                <c:pt idx="86">
                  <c:v>4.8728637050037227</c:v>
                </c:pt>
                <c:pt idx="87">
                  <c:v>4.8954814228439814</c:v>
                </c:pt>
                <c:pt idx="88">
                  <c:v>4.9180991406842391</c:v>
                </c:pt>
                <c:pt idx="89">
                  <c:v>4.9407168585244978</c:v>
                </c:pt>
                <c:pt idx="90">
                  <c:v>4.9633345763647565</c:v>
                </c:pt>
                <c:pt idx="91">
                  <c:v>4.9859522942050143</c:v>
                </c:pt>
                <c:pt idx="92">
                  <c:v>5.008570012045273</c:v>
                </c:pt>
                <c:pt idx="93">
                  <c:v>5.0311877298855308</c:v>
                </c:pt>
                <c:pt idx="94">
                  <c:v>5.0538054477257894</c:v>
                </c:pt>
                <c:pt idx="95">
                  <c:v>5.0764231655660481</c:v>
                </c:pt>
                <c:pt idx="96">
                  <c:v>5.0990408834063059</c:v>
                </c:pt>
                <c:pt idx="97">
                  <c:v>5.1216586012465637</c:v>
                </c:pt>
                <c:pt idx="98">
                  <c:v>5.1442763190868224</c:v>
                </c:pt>
                <c:pt idx="99">
                  <c:v>5.166894036927081</c:v>
                </c:pt>
                <c:pt idx="100">
                  <c:v>5.1895117547673397</c:v>
                </c:pt>
                <c:pt idx="101">
                  <c:v>5.2121294726075975</c:v>
                </c:pt>
                <c:pt idx="102">
                  <c:v>5.2347471904478562</c:v>
                </c:pt>
                <c:pt idx="115">
                  <c:v>3.6741246594700283</c:v>
                </c:pt>
              </c:numCache>
            </c:numRef>
          </c:xVal>
          <c:yVal>
            <c:numRef>
              <c:f>Sim26k!$Q$35:$Q$197</c:f>
              <c:numCache>
                <c:formatCode>General</c:formatCode>
                <c:ptCount val="163"/>
                <c:pt idx="0">
                  <c:v>0</c:v>
                </c:pt>
                <c:pt idx="1">
                  <c:v>0.39199925822440773</c:v>
                </c:pt>
                <c:pt idx="2">
                  <c:v>0.77612207432366953</c:v>
                </c:pt>
                <c:pt idx="3">
                  <c:v>1.1525267096700971</c:v>
                </c:pt>
                <c:pt idx="4">
                  <c:v>1.5213682456898272</c:v>
                </c:pt>
                <c:pt idx="5">
                  <c:v>1.8827986477575001</c:v>
                </c:pt>
                <c:pt idx="6">
                  <c:v>2.2369668278070782</c:v>
                </c:pt>
                <c:pt idx="7">
                  <c:v>2.5840187056846466</c:v>
                </c:pt>
                <c:pt idx="8">
                  <c:v>2.9240972692684415</c:v>
                </c:pt>
                <c:pt idx="9">
                  <c:v>3.257342633380881</c:v>
                </c:pt>
                <c:pt idx="10">
                  <c:v>3.5838920975168942</c:v>
                </c:pt>
                <c:pt idx="11">
                  <c:v>3.9038802024122936</c:v>
                </c:pt>
                <c:pt idx="12">
                  <c:v>4.2174387854755357</c:v>
                </c:pt>
                <c:pt idx="13">
                  <c:v>4.5246970351056826</c:v>
                </c:pt>
                <c:pt idx="14">
                  <c:v>4.8257815439189535</c:v>
                </c:pt>
                <c:pt idx="15">
                  <c:v>5.1208163609057982</c:v>
                </c:pt>
                <c:pt idx="16">
                  <c:v>5.4099230425399734</c:v>
                </c:pt>
                <c:pt idx="17">
                  <c:v>5.693220702860696</c:v>
                </c:pt>
                <c:pt idx="18">
                  <c:v>5.970826062548471</c:v>
                </c:pt>
                <c:pt idx="19">
                  <c:v>6.2428534970148704</c:v>
                </c:pt>
                <c:pt idx="20">
                  <c:v>6.5094150835260161</c:v>
                </c:pt>
                <c:pt idx="21">
                  <c:v>6.7706206473792339</c:v>
                </c:pt>
                <c:pt idx="22">
                  <c:v>7.0265778071518543</c:v>
                </c:pt>
                <c:pt idx="23">
                  <c:v>7.2773920190408568</c:v>
                </c:pt>
                <c:pt idx="24">
                  <c:v>7.5231666203115735</c:v>
                </c:pt>
                <c:pt idx="25">
                  <c:v>7.7640028718733962</c:v>
                </c:pt>
                <c:pt idx="26">
                  <c:v>7.9999999999999964</c:v>
                </c:pt>
                <c:pt idx="27" formatCode="0.0">
                  <c:v>7.9999999999999964</c:v>
                </c:pt>
                <c:pt idx="28" formatCode="0.0">
                  <c:v>7.9563169900745097</c:v>
                </c:pt>
                <c:pt idx="29" formatCode="0.0">
                  <c:v>7.78751661448565</c:v>
                </c:pt>
                <c:pt idx="30" formatCode="0.0">
                  <c:v>7.4966778211988343</c:v>
                </c:pt>
                <c:pt idx="31" formatCode="0.0">
                  <c:v>7.0887905656091021</c:v>
                </c:pt>
                <c:pt idx="32" formatCode="0.0">
                  <c:v>6.570670812961378</c:v>
                </c:pt>
                <c:pt idx="33" formatCode="0.0">
                  <c:v>5.9508470782624805</c:v>
                </c:pt>
                <c:pt idx="34" formatCode="0.0">
                  <c:v>5.2394203858550972</c:v>
                </c:pt>
                <c:pt idx="35" formatCode="0.0">
                  <c:v>4.4478999429670436</c:v>
                </c:pt>
                <c:pt idx="36" formatCode="0.0">
                  <c:v>3.5890171961825703</c:v>
                </c:pt>
                <c:pt idx="37" formatCode="0.0">
                  <c:v>2.6765212711343116</c:v>
                </c:pt>
                <c:pt idx="38" formatCode="0.0">
                  <c:v>1.7249590787135847</c:v>
                </c:pt>
                <c:pt idx="39" formatCode="0.0">
                  <c:v>0.74944360145057121</c:v>
                </c:pt>
                <c:pt idx="40" formatCode="0.0">
                  <c:v>-0.23458595202501364</c:v>
                </c:pt>
                <c:pt idx="41" formatCode="0.0">
                  <c:v>-1.2116083209226651</c:v>
                </c:pt>
                <c:pt idx="42" formatCode="0.0">
                  <c:v>-2.1662648357714862</c:v>
                </c:pt>
                <c:pt idx="43" formatCode="0.0">
                  <c:v>-3.0836006781872913</c:v>
                </c:pt>
                <c:pt idx="44" formatCode="0.0">
                  <c:v>-3.9492989699211161</c:v>
                </c:pt>
                <c:pt idx="45" formatCode="0.0">
                  <c:v>-4.7499040298330897</c:v>
                </c:pt>
                <c:pt idx="46" formatCode="0.0">
                  <c:v>-5.4730303203062034</c:v>
                </c:pt>
                <c:pt idx="47" formatCode="0.0">
                  <c:v>-6.1075538416347515</c:v>
                </c:pt>
                <c:pt idx="48" formatCode="0.0">
                  <c:v>-6.6437830201777075</c:v>
                </c:pt>
                <c:pt idx="49" formatCode="0.0">
                  <c:v>-7.0736064688669265</c:v>
                </c:pt>
                <c:pt idx="50" formatCode="0.0">
                  <c:v>-7.3906153716101777</c:v>
                </c:pt>
                <c:pt idx="51" formatCode="0.0">
                  <c:v>-7.590198650223182</c:v>
                </c:pt>
                <c:pt idx="52" formatCode="0.0">
                  <c:v>-7.6696095072384809</c:v>
                </c:pt>
                <c:pt idx="53" formatCode="0.0">
                  <c:v>-7.6280023933350458</c:v>
                </c:pt>
                <c:pt idx="54" formatCode="0.0">
                  <c:v>-7.4664399169716109</c:v>
                </c:pt>
                <c:pt idx="55" formatCode="0.0">
                  <c:v>-7.187869688662099</c:v>
                </c:pt>
                <c:pt idx="56" formatCode="0.0">
                  <c:v>-6.7970715657068093</c:v>
                </c:pt>
                <c:pt idx="57" formatCode="0.0">
                  <c:v>-6.3005762276403363</c:v>
                </c:pt>
                <c:pt idx="58" formatCode="0.0">
                  <c:v>-5.7065564608944701</c:v>
                </c:pt>
                <c:pt idx="59" formatCode="0.0">
                  <c:v>-5.0246929561988489</c:v>
                </c:pt>
                <c:pt idx="60" formatCode="0.0">
                  <c:v>-4.2660168174407103</c:v>
                </c:pt>
                <c:pt idx="61" formatCode="0.0">
                  <c:v>-3.4427313399560173</c:v>
                </c:pt>
                <c:pt idx="62" formatCode="0.0">
                  <c:v>-2.5680159339925424</c:v>
                </c:pt>
                <c:pt idx="63" formatCode="0.0">
                  <c:v>-1.6558153405079397</c:v>
                </c:pt>
                <c:pt idx="64" formatCode="0.0">
                  <c:v>-0.7206175074252239</c:v>
                </c:pt>
                <c:pt idx="65" formatCode="0.0">
                  <c:v>0.22277633834449312</c:v>
                </c:pt>
                <c:pt idx="66" formatCode="0.0">
                  <c:v>1.1594857768377529</c:v>
                </c:pt>
                <c:pt idx="67" formatCode="0.0">
                  <c:v>2.0747857394750051</c:v>
                </c:pt>
                <c:pt idx="68" formatCode="0.0">
                  <c:v>2.9543378177793262</c:v>
                </c:pt>
                <c:pt idx="69" formatCode="0.0">
                  <c:v>3.7844147055433455</c:v>
                </c:pt>
                <c:pt idx="70" formatCode="0.0">
                  <c:v>4.5521142639448806</c:v>
                </c:pt>
                <c:pt idx="71" formatCode="0.0">
                  <c:v>5.2455598743103202</c:v>
                </c:pt>
                <c:pt idx="72" formatCode="0.0">
                  <c:v>5.8540839703446022</c:v>
                </c:pt>
                <c:pt idx="73" formatCode="0.0">
                  <c:v>6.3683919169367194</c:v>
                </c:pt>
                <c:pt idx="74" formatCode="0.0">
                  <c:v>6.7807037216141</c:v>
                </c:pt>
                <c:pt idx="75" formatCode="0.0">
                  <c:v>7.0848714221882929</c:v>
                </c:pt>
                <c:pt idx="76" formatCode="0.0">
                  <c:v>7.2764703843515823</c:v>
                </c:pt>
                <c:pt idx="77" formatCode="0.0">
                  <c:v>7.3528631596944836</c:v>
                </c:pt>
                <c:pt idx="78" formatCode="0.0">
                  <c:v>7.3132349911683061</c:v>
                </c:pt>
                <c:pt idx="79" formatCode="0.0">
                  <c:v>7.1586005024750579</c:v>
                </c:pt>
                <c:pt idx="80" formatCode="0.0">
                  <c:v>6.891781563108843</c:v>
                </c:pt>
                <c:pt idx="81" formatCode="0.0">
                  <c:v>6.5173567746122005</c:v>
                </c:pt>
                <c:pt idx="82" formatCode="0.0">
                  <c:v>6.0415834689066559</c:v>
                </c:pt>
                <c:pt idx="83" formatCode="0.0">
                  <c:v>5.4722935393273584</c:v>
                </c:pt>
                <c:pt idx="84" formatCode="0.0">
                  <c:v>4.8187648325229269</c:v>
                </c:pt>
                <c:pt idx="85" formatCode="0.0">
                  <c:v>4.0915702083320866</c:v>
                </c:pt>
                <c:pt idx="86" formatCode="0.0">
                  <c:v>3.3024067192488968</c:v>
                </c:pt>
                <c:pt idx="87" formatCode="0.0">
                  <c:v>2.4639076658297197</c:v>
                </c:pt>
                <c:pt idx="88" formatCode="0.0">
                  <c:v>1.5894405447145386</c:v>
                </c:pt>
                <c:pt idx="89" formatCode="0.0">
                  <c:v>0.6928941178831286</c:v>
                </c:pt>
                <c:pt idx="90" formatCode="0.0">
                  <c:v>-0.21154200783073623</c:v>
                </c:pt>
                <c:pt idx="91" formatCode="0.0">
                  <c:v>-1.1096017954379156</c:v>
                </c:pt>
                <c:pt idx="92" formatCode="0.0">
                  <c:v>-1.9871676400632865</c:v>
                </c:pt>
                <c:pt idx="93" formatCode="0.0">
                  <c:v>-2.8304921370406464</c:v>
                </c:pt>
                <c:pt idx="94" formatCode="0.0">
                  <c:v>-3.626413274730417</c:v>
                </c:pt>
                <c:pt idx="95" formatCode="0.0">
                  <c:v>-4.3625596862013838</c:v>
                </c:pt>
                <c:pt idx="96" formatCode="0.0">
                  <c:v>-5.0275427617667487</c:v>
                </c:pt>
                <c:pt idx="97" formatCode="0.0">
                  <c:v>-5.6111326419972132</c:v>
                </c:pt>
                <c:pt idx="98" formatCode="0.0">
                  <c:v>-6.1044153746568917</c:v>
                </c:pt>
                <c:pt idx="99" formatCode="0.0">
                  <c:v>-6.4999288247122511</c:v>
                </c:pt>
                <c:pt idx="100" formatCode="0.0">
                  <c:v>-6.7917752691949405</c:v>
                </c:pt>
                <c:pt idx="101" formatCode="0.0">
                  <c:v>-6.9757089827390226</c:v>
                </c:pt>
                <c:pt idx="102" formatCode="0.0">
                  <c:v>-7.049197519065773</c:v>
                </c:pt>
                <c:pt idx="115" formatCode="0.000">
                  <c:v>5.9508470782624805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BC-4556-914E-F15181D9E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74592"/>
        <c:axId val="178196864"/>
      </c:scatterChart>
      <c:valAx>
        <c:axId val="17816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[ms]</a:t>
                </a:r>
              </a:p>
            </c:rich>
          </c:tx>
          <c:layout>
            <c:manualLayout>
              <c:xMode val="edge"/>
              <c:yMode val="edge"/>
              <c:x val="0.48210526315789476"/>
              <c:y val="0.88605108055009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172672"/>
        <c:crossesAt val="-100000"/>
        <c:crossBetween val="midCat"/>
      </c:valAx>
      <c:valAx>
        <c:axId val="17817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UL,Uc [V]</a:t>
                </a:r>
              </a:p>
            </c:rich>
          </c:tx>
          <c:layout>
            <c:manualLayout>
              <c:xMode val="edge"/>
              <c:yMode val="edge"/>
              <c:x val="3.6842105263157891E-2"/>
              <c:y val="0.442043222003929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162304"/>
        <c:crosses val="autoZero"/>
        <c:crossBetween val="midCat"/>
      </c:valAx>
      <c:valAx>
        <c:axId val="17817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196864"/>
        <c:crosses val="autoZero"/>
        <c:crossBetween val="midCat"/>
      </c:valAx>
      <c:valAx>
        <c:axId val="1781968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0.9357894736842105"/>
              <c:y val="0.47544204322200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174592"/>
        <c:crosses val="max"/>
        <c:crossBetween val="midCat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263157894736845"/>
          <c:y val="2.1611001964636542E-2"/>
          <c:w val="7.4736842105263157E-2"/>
          <c:h val="0.11394891944990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Primärstrom &amp; Sekundärspannung</a:t>
            </a:r>
          </a:p>
        </c:rich>
      </c:tx>
      <c:layout>
        <c:manualLayout>
          <c:xMode val="edge"/>
          <c:yMode val="edge"/>
          <c:x val="0.24385655778938536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11923396077687"/>
          <c:y val="0.25906735751295334"/>
          <c:w val="0.71266606423719603"/>
          <c:h val="0.55181347150259064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Sim26k!$L$79:$L$80</c:f>
              <c:strCache>
                <c:ptCount val="2"/>
                <c:pt idx="0">
                  <c:v>Usec</c:v>
                </c:pt>
                <c:pt idx="1">
                  <c:v>[kV]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Sim26k!$H$81:$H$156</c:f>
              <c:numCache>
                <c:formatCode>General</c:formatCode>
                <c:ptCount val="76"/>
                <c:pt idx="0">
                  <c:v>0</c:v>
                </c:pt>
                <c:pt idx="1">
                  <c:v>2.2617717840258393E-5</c:v>
                </c:pt>
                <c:pt idx="2">
                  <c:v>4.5235435680516786E-5</c:v>
                </c:pt>
                <c:pt idx="3">
                  <c:v>6.7853153520775183E-5</c:v>
                </c:pt>
                <c:pt idx="4">
                  <c:v>9.0470871361033573E-5</c:v>
                </c:pt>
                <c:pt idx="5">
                  <c:v>1.1308858920129196E-4</c:v>
                </c:pt>
                <c:pt idx="6">
                  <c:v>1.3570630704155037E-4</c:v>
                </c:pt>
                <c:pt idx="7">
                  <c:v>1.5832402488180877E-4</c:v>
                </c:pt>
                <c:pt idx="8">
                  <c:v>1.8094174272206717E-4</c:v>
                </c:pt>
                <c:pt idx="9">
                  <c:v>2.0355946056232558E-4</c:v>
                </c:pt>
                <c:pt idx="10">
                  <c:v>2.2617717840258398E-4</c:v>
                </c:pt>
                <c:pt idx="11">
                  <c:v>2.4879489624284235E-4</c:v>
                </c:pt>
                <c:pt idx="12">
                  <c:v>2.7141261408310073E-4</c:v>
                </c:pt>
                <c:pt idx="13">
                  <c:v>2.9403033192335911E-4</c:v>
                </c:pt>
                <c:pt idx="14">
                  <c:v>3.1664804976361748E-4</c:v>
                </c:pt>
                <c:pt idx="15">
                  <c:v>3.3926576760387586E-4</c:v>
                </c:pt>
                <c:pt idx="16">
                  <c:v>3.6188348544413424E-4</c:v>
                </c:pt>
                <c:pt idx="17">
                  <c:v>3.8450120328439261E-4</c:v>
                </c:pt>
                <c:pt idx="18">
                  <c:v>4.0711892112465099E-4</c:v>
                </c:pt>
                <c:pt idx="19">
                  <c:v>4.2973663896490936E-4</c:v>
                </c:pt>
                <c:pt idx="20">
                  <c:v>4.5235435680516774E-4</c:v>
                </c:pt>
                <c:pt idx="21">
                  <c:v>4.7497207464542612E-4</c:v>
                </c:pt>
                <c:pt idx="22">
                  <c:v>4.9758979248568449E-4</c:v>
                </c:pt>
                <c:pt idx="23">
                  <c:v>5.2020751032594292E-4</c:v>
                </c:pt>
                <c:pt idx="24">
                  <c:v>5.4282522816620135E-4</c:v>
                </c:pt>
                <c:pt idx="25">
                  <c:v>5.6544294600645978E-4</c:v>
                </c:pt>
                <c:pt idx="26">
                  <c:v>5.8806066384671821E-4</c:v>
                </c:pt>
                <c:pt idx="27">
                  <c:v>6.1067838168697664E-4</c:v>
                </c:pt>
                <c:pt idx="28">
                  <c:v>6.3329609952723508E-4</c:v>
                </c:pt>
                <c:pt idx="29">
                  <c:v>6.5591381736749351E-4</c:v>
                </c:pt>
                <c:pt idx="30">
                  <c:v>6.7853153520775194E-4</c:v>
                </c:pt>
                <c:pt idx="31">
                  <c:v>7.0114925304801037E-4</c:v>
                </c:pt>
                <c:pt idx="32">
                  <c:v>7.237669708882688E-4</c:v>
                </c:pt>
                <c:pt idx="33">
                  <c:v>7.4638468872852723E-4</c:v>
                </c:pt>
                <c:pt idx="34">
                  <c:v>7.6900240656878566E-4</c:v>
                </c:pt>
                <c:pt idx="35">
                  <c:v>7.9162012440904409E-4</c:v>
                </c:pt>
                <c:pt idx="36">
                  <c:v>8.1423784224930252E-4</c:v>
                </c:pt>
                <c:pt idx="37">
                  <c:v>8.3685556008956095E-4</c:v>
                </c:pt>
                <c:pt idx="38">
                  <c:v>8.5947327792981938E-4</c:v>
                </c:pt>
                <c:pt idx="39">
                  <c:v>8.8209099577007781E-4</c:v>
                </c:pt>
                <c:pt idx="40">
                  <c:v>9.0470871361033624E-4</c:v>
                </c:pt>
                <c:pt idx="41">
                  <c:v>9.2732643145059467E-4</c:v>
                </c:pt>
                <c:pt idx="42">
                  <c:v>9.499441492908531E-4</c:v>
                </c:pt>
                <c:pt idx="43">
                  <c:v>9.7256186713111153E-4</c:v>
                </c:pt>
                <c:pt idx="44">
                  <c:v>9.9517958497136985E-4</c:v>
                </c:pt>
                <c:pt idx="45">
                  <c:v>1.0177973028116282E-3</c:v>
                </c:pt>
                <c:pt idx="46">
                  <c:v>1.0404150206518865E-3</c:v>
                </c:pt>
                <c:pt idx="47">
                  <c:v>1.0630327384921448E-3</c:v>
                </c:pt>
                <c:pt idx="48">
                  <c:v>1.0856504563324031E-3</c:v>
                </c:pt>
                <c:pt idx="49">
                  <c:v>1.1082681741726615E-3</c:v>
                </c:pt>
                <c:pt idx="50">
                  <c:v>1.1308858920129198E-3</c:v>
                </c:pt>
                <c:pt idx="51">
                  <c:v>1.1535036098531781E-3</c:v>
                </c:pt>
                <c:pt idx="52">
                  <c:v>1.1761213276934364E-3</c:v>
                </c:pt>
                <c:pt idx="53">
                  <c:v>1.1987390455336948E-3</c:v>
                </c:pt>
                <c:pt idx="54">
                  <c:v>1.2213567633739531E-3</c:v>
                </c:pt>
                <c:pt idx="55">
                  <c:v>1.2439744812142114E-3</c:v>
                </c:pt>
                <c:pt idx="56">
                  <c:v>1.2665921990544697E-3</c:v>
                </c:pt>
                <c:pt idx="57">
                  <c:v>1.289209916894728E-3</c:v>
                </c:pt>
                <c:pt idx="58">
                  <c:v>1.3118276347349864E-3</c:v>
                </c:pt>
                <c:pt idx="59">
                  <c:v>1.3344453525752447E-3</c:v>
                </c:pt>
                <c:pt idx="60">
                  <c:v>1.357063070415503E-3</c:v>
                </c:pt>
                <c:pt idx="61">
                  <c:v>1.3796807882557613E-3</c:v>
                </c:pt>
                <c:pt idx="62">
                  <c:v>1.4022985060960196E-3</c:v>
                </c:pt>
                <c:pt idx="63">
                  <c:v>1.424916223936278E-3</c:v>
                </c:pt>
                <c:pt idx="64">
                  <c:v>1.4475339417765363E-3</c:v>
                </c:pt>
                <c:pt idx="65">
                  <c:v>1.4701516596167946E-3</c:v>
                </c:pt>
                <c:pt idx="66">
                  <c:v>1.4927693774570529E-3</c:v>
                </c:pt>
                <c:pt idx="67">
                  <c:v>1.5153870952973113E-3</c:v>
                </c:pt>
                <c:pt idx="68">
                  <c:v>1.5380048131375696E-3</c:v>
                </c:pt>
                <c:pt idx="69">
                  <c:v>1.5606225309778279E-3</c:v>
                </c:pt>
                <c:pt idx="70">
                  <c:v>1.5832402488180862E-3</c:v>
                </c:pt>
                <c:pt idx="71">
                  <c:v>1.6058579666583445E-3</c:v>
                </c:pt>
                <c:pt idx="72">
                  <c:v>1.6284756844986029E-3</c:v>
                </c:pt>
                <c:pt idx="73">
                  <c:v>1.6510934023388612E-3</c:v>
                </c:pt>
                <c:pt idx="74">
                  <c:v>1.6737111201791195E-3</c:v>
                </c:pt>
                <c:pt idx="75">
                  <c:v>1.6963288380193778E-3</c:v>
                </c:pt>
              </c:numCache>
            </c:numRef>
          </c:xVal>
          <c:yVal>
            <c:numRef>
              <c:f>Sim26k!$L$81:$L$156</c:f>
              <c:numCache>
                <c:formatCode>General</c:formatCode>
                <c:ptCount val="76"/>
                <c:pt idx="0">
                  <c:v>-1.325236601784616</c:v>
                </c:pt>
                <c:pt idx="1">
                  <c:v>9.15711821357662</c:v>
                </c:pt>
                <c:pt idx="2">
                  <c:v>19.460002314043489</c:v>
                </c:pt>
                <c:pt idx="3">
                  <c:v>29.42181120064825</c:v>
                </c:pt>
                <c:pt idx="4">
                  <c:v>38.886854497711738</c:v>
                </c:pt>
                <c:pt idx="5">
                  <c:v>47.707787229779626</c:v>
                </c:pt>
                <c:pt idx="6">
                  <c:v>55.74790152068276</c:v>
                </c:pt>
                <c:pt idx="7">
                  <c:v>62.883243104196325</c:v>
                </c:pt>
                <c:pt idx="8">
                  <c:v>69.004519913866886</c:v>
                </c:pt>
                <c:pt idx="9">
                  <c:v>74.018773403318917</c:v>
                </c:pt>
                <c:pt idx="10">
                  <c:v>77.850787082766033</c:v>
                </c:pt>
                <c:pt idx="11">
                  <c:v>80.444210980650212</c:v>
                </c:pt>
                <c:pt idx="12">
                  <c:v>81.762385283515783</c:v>
                </c:pt>
                <c:pt idx="13">
                  <c:v>81.788851199768388</c:v>
                </c:pt>
                <c:pt idx="14">
                  <c:v>80.527542057583602</c:v>
                </c:pt>
                <c:pt idx="15">
                  <c:v>78.002652705169552</c:v>
                </c:pt>
                <c:pt idx="16">
                  <c:v>74.258190352912223</c:v>
                </c:pt>
                <c:pt idx="17">
                  <c:v>69.357215001745416</c:v>
                </c:pt>
                <c:pt idx="18">
                  <c:v>63.380782461823785</c:v>
                </c:pt>
                <c:pt idx="19">
                  <c:v>56.426607604211263</c:v>
                </c:pt>
                <c:pt idx="20">
                  <c:v>48.607469833540783</c:v>
                </c:pt>
                <c:pt idx="21">
                  <c:v>40.049386754035638</c:v>
                </c:pt>
                <c:pt idx="22">
                  <c:v>30.889585563385083</c:v>
                </c:pt>
                <c:pt idx="23">
                  <c:v>21.274304794085907</c:v>
                </c:pt>
                <c:pt idx="24">
                  <c:v>11.356461583022451</c:v>
                </c:pt>
                <c:pt idx="25">
                  <c:v>1.2932216487103476</c:v>
                </c:pt>
                <c:pt idx="26">
                  <c:v>-8.7564894378054365</c:v>
                </c:pt>
                <c:pt idx="27">
                  <c:v>-18.634494308076739</c:v>
                </c:pt>
                <c:pt idx="28">
                  <c:v>-28.185851625430306</c:v>
                </c:pt>
                <c:pt idx="29">
                  <c:v>-37.261284587860125</c:v>
                </c:pt>
                <c:pt idx="30">
                  <c:v>-45.719512070007497</c:v>
                </c:pt>
                <c:pt idx="31">
                  <c:v>-53.429446030540916</c:v>
                </c:pt>
                <c:pt idx="32">
                  <c:v>-60.27222103926384</c:v>
                </c:pt>
                <c:pt idx="33">
                  <c:v>-66.143024536379414</c:v>
                </c:pt>
                <c:pt idx="34">
                  <c:v>-70.952699679322393</c:v>
                </c:pt>
                <c:pt idx="35">
                  <c:v>-74.62909630773612</c:v>
                </c:pt>
                <c:pt idx="36">
                  <c:v>-77.118149605212679</c:v>
                </c:pt>
                <c:pt idx="37">
                  <c:v>-78.384670392334371</c:v>
                </c:pt>
                <c:pt idx="38">
                  <c:v>-78.412835579743486</c:v>
                </c:pt>
                <c:pt idx="39">
                  <c:v>-77.206372069286559</c:v>
                </c:pt>
                <c:pt idx="40">
                  <c:v>-74.788432240244475</c:v>
                </c:pt>
                <c:pt idx="41">
                  <c:v>-71.201164019627498</c:v>
                </c:pt>
                <c:pt idx="42">
                  <c:v>-66.504983333890422</c:v>
                </c:pt>
                <c:pt idx="43">
                  <c:v>-60.777561398881133</c:v>
                </c:pt>
                <c:pt idx="44">
                  <c:v>-54.112543752478778</c:v>
                </c:pt>
                <c:pt idx="45">
                  <c:v>-46.618022100901435</c:v>
                </c:pt>
                <c:pt idx="46">
                  <c:v>-38.414783870411817</c:v>
                </c:pt>
                <c:pt idx="47">
                  <c:v>-29.634367772134745</c:v>
                </c:pt>
                <c:pt idx="48">
                  <c:v>-20.416956646506126</c:v>
                </c:pt>
                <c:pt idx="49">
                  <c:v>-10.909141310452148</c:v>
                </c:pt>
                <c:pt idx="50">
                  <c:v>-1.261591047765743</c:v>
                </c:pt>
                <c:pt idx="51">
                  <c:v>8.373332267062052</c:v>
                </c:pt>
                <c:pt idx="52">
                  <c:v>17.843978658435358</c:v>
                </c:pt>
                <c:pt idx="53">
                  <c:v>27.001795233635892</c:v>
                </c:pt>
                <c:pt idx="54">
                  <c:v>35.703654573807093</c:v>
                </c:pt>
                <c:pt idx="55">
                  <c:v>43.814089864946972</c:v>
                </c:pt>
                <c:pt idx="56">
                  <c:v>51.207401893010427</c:v>
                </c:pt>
                <c:pt idx="57">
                  <c:v>57.769605162048386</c:v>
                </c:pt>
                <c:pt idx="58">
                  <c:v>63.400183037421705</c:v>
                </c:pt>
                <c:pt idx="59">
                  <c:v>68.013624924200442</c:v>
                </c:pt>
                <c:pt idx="60">
                  <c:v>71.540722013397826</c:v>
                </c:pt>
                <c:pt idx="61">
                  <c:v>73.929602008829235</c:v>
                </c:pt>
                <c:pt idx="62">
                  <c:v>75.146487422848409</c:v>
                </c:pt>
                <c:pt idx="63">
                  <c:v>75.176166433251936</c:v>
                </c:pt>
                <c:pt idx="64">
                  <c:v>74.022169856157944</c:v>
                </c:pt>
                <c:pt idx="65">
                  <c:v>71.70665243828897</c:v>
                </c:pt>
                <c:pt idx="66">
                  <c:v>68.269981333342358</c:v>
                </c:pt>
                <c:pt idx="67">
                  <c:v>63.770039227585336</c:v>
                </c:pt>
                <c:pt idx="68">
                  <c:v>58.281254047244353</c:v>
                </c:pt>
                <c:pt idx="69">
                  <c:v>51.893371444775163</c:v>
                </c:pt>
                <c:pt idx="70">
                  <c:v>44.709990256251928</c:v>
                </c:pt>
                <c:pt idx="71">
                  <c:v>36.846884785903754</c:v>
                </c:pt>
                <c:pt idx="72">
                  <c:v>28.430141049684426</c:v>
                </c:pt>
                <c:pt idx="73">
                  <c:v>19.594136947428836</c:v>
                </c:pt>
                <c:pt idx="74">
                  <c:v>10.479398689412042</c:v>
                </c:pt>
                <c:pt idx="75">
                  <c:v>1.2303676425231405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3A-4042-B0DE-66E41B8F4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42528"/>
        <c:axId val="178345088"/>
      </c:scatterChart>
      <c:scatterChart>
        <c:scatterStyle val="lineMarker"/>
        <c:varyColors val="0"/>
        <c:ser>
          <c:idx val="0"/>
          <c:order val="0"/>
          <c:tx>
            <c:strRef>
              <c:f>Sim26k!$I$79:$I$80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Sim26k!$H$81:$H$156</c:f>
              <c:numCache>
                <c:formatCode>General</c:formatCode>
                <c:ptCount val="76"/>
                <c:pt idx="0">
                  <c:v>0</c:v>
                </c:pt>
                <c:pt idx="1">
                  <c:v>2.2617717840258393E-5</c:v>
                </c:pt>
                <c:pt idx="2">
                  <c:v>4.5235435680516786E-5</c:v>
                </c:pt>
                <c:pt idx="3">
                  <c:v>6.7853153520775183E-5</c:v>
                </c:pt>
                <c:pt idx="4">
                  <c:v>9.0470871361033573E-5</c:v>
                </c:pt>
                <c:pt idx="5">
                  <c:v>1.1308858920129196E-4</c:v>
                </c:pt>
                <c:pt idx="6">
                  <c:v>1.3570630704155037E-4</c:v>
                </c:pt>
                <c:pt idx="7">
                  <c:v>1.5832402488180877E-4</c:v>
                </c:pt>
                <c:pt idx="8">
                  <c:v>1.8094174272206717E-4</c:v>
                </c:pt>
                <c:pt idx="9">
                  <c:v>2.0355946056232558E-4</c:v>
                </c:pt>
                <c:pt idx="10">
                  <c:v>2.2617717840258398E-4</c:v>
                </c:pt>
                <c:pt idx="11">
                  <c:v>2.4879489624284235E-4</c:v>
                </c:pt>
                <c:pt idx="12">
                  <c:v>2.7141261408310073E-4</c:v>
                </c:pt>
                <c:pt idx="13">
                  <c:v>2.9403033192335911E-4</c:v>
                </c:pt>
                <c:pt idx="14">
                  <c:v>3.1664804976361748E-4</c:v>
                </c:pt>
                <c:pt idx="15">
                  <c:v>3.3926576760387586E-4</c:v>
                </c:pt>
                <c:pt idx="16">
                  <c:v>3.6188348544413424E-4</c:v>
                </c:pt>
                <c:pt idx="17">
                  <c:v>3.8450120328439261E-4</c:v>
                </c:pt>
                <c:pt idx="18">
                  <c:v>4.0711892112465099E-4</c:v>
                </c:pt>
                <c:pt idx="19">
                  <c:v>4.2973663896490936E-4</c:v>
                </c:pt>
                <c:pt idx="20">
                  <c:v>4.5235435680516774E-4</c:v>
                </c:pt>
                <c:pt idx="21">
                  <c:v>4.7497207464542612E-4</c:v>
                </c:pt>
                <c:pt idx="22">
                  <c:v>4.9758979248568449E-4</c:v>
                </c:pt>
                <c:pt idx="23">
                  <c:v>5.2020751032594292E-4</c:v>
                </c:pt>
                <c:pt idx="24">
                  <c:v>5.4282522816620135E-4</c:v>
                </c:pt>
                <c:pt idx="25">
                  <c:v>5.6544294600645978E-4</c:v>
                </c:pt>
                <c:pt idx="26">
                  <c:v>5.8806066384671821E-4</c:v>
                </c:pt>
                <c:pt idx="27">
                  <c:v>6.1067838168697664E-4</c:v>
                </c:pt>
                <c:pt idx="28">
                  <c:v>6.3329609952723508E-4</c:v>
                </c:pt>
                <c:pt idx="29">
                  <c:v>6.5591381736749351E-4</c:v>
                </c:pt>
                <c:pt idx="30">
                  <c:v>6.7853153520775194E-4</c:v>
                </c:pt>
                <c:pt idx="31">
                  <c:v>7.0114925304801037E-4</c:v>
                </c:pt>
                <c:pt idx="32">
                  <c:v>7.237669708882688E-4</c:v>
                </c:pt>
                <c:pt idx="33">
                  <c:v>7.4638468872852723E-4</c:v>
                </c:pt>
                <c:pt idx="34">
                  <c:v>7.6900240656878566E-4</c:v>
                </c:pt>
                <c:pt idx="35">
                  <c:v>7.9162012440904409E-4</c:v>
                </c:pt>
                <c:pt idx="36">
                  <c:v>8.1423784224930252E-4</c:v>
                </c:pt>
                <c:pt idx="37">
                  <c:v>8.3685556008956095E-4</c:v>
                </c:pt>
                <c:pt idx="38">
                  <c:v>8.5947327792981938E-4</c:v>
                </c:pt>
                <c:pt idx="39">
                  <c:v>8.8209099577007781E-4</c:v>
                </c:pt>
                <c:pt idx="40">
                  <c:v>9.0470871361033624E-4</c:v>
                </c:pt>
                <c:pt idx="41">
                  <c:v>9.2732643145059467E-4</c:v>
                </c:pt>
                <c:pt idx="42">
                  <c:v>9.499441492908531E-4</c:v>
                </c:pt>
                <c:pt idx="43">
                  <c:v>9.7256186713111153E-4</c:v>
                </c:pt>
                <c:pt idx="44">
                  <c:v>9.9517958497136985E-4</c:v>
                </c:pt>
                <c:pt idx="45">
                  <c:v>1.0177973028116282E-3</c:v>
                </c:pt>
                <c:pt idx="46">
                  <c:v>1.0404150206518865E-3</c:v>
                </c:pt>
                <c:pt idx="47">
                  <c:v>1.0630327384921448E-3</c:v>
                </c:pt>
                <c:pt idx="48">
                  <c:v>1.0856504563324031E-3</c:v>
                </c:pt>
                <c:pt idx="49">
                  <c:v>1.1082681741726615E-3</c:v>
                </c:pt>
                <c:pt idx="50">
                  <c:v>1.1308858920129198E-3</c:v>
                </c:pt>
                <c:pt idx="51">
                  <c:v>1.1535036098531781E-3</c:v>
                </c:pt>
                <c:pt idx="52">
                  <c:v>1.1761213276934364E-3</c:v>
                </c:pt>
                <c:pt idx="53">
                  <c:v>1.1987390455336948E-3</c:v>
                </c:pt>
                <c:pt idx="54">
                  <c:v>1.2213567633739531E-3</c:v>
                </c:pt>
                <c:pt idx="55">
                  <c:v>1.2439744812142114E-3</c:v>
                </c:pt>
                <c:pt idx="56">
                  <c:v>1.2665921990544697E-3</c:v>
                </c:pt>
                <c:pt idx="57">
                  <c:v>1.289209916894728E-3</c:v>
                </c:pt>
                <c:pt idx="58">
                  <c:v>1.3118276347349864E-3</c:v>
                </c:pt>
                <c:pt idx="59">
                  <c:v>1.3344453525752447E-3</c:v>
                </c:pt>
                <c:pt idx="60">
                  <c:v>1.357063070415503E-3</c:v>
                </c:pt>
                <c:pt idx="61">
                  <c:v>1.3796807882557613E-3</c:v>
                </c:pt>
                <c:pt idx="62">
                  <c:v>1.4022985060960196E-3</c:v>
                </c:pt>
                <c:pt idx="63">
                  <c:v>1.424916223936278E-3</c:v>
                </c:pt>
                <c:pt idx="64">
                  <c:v>1.4475339417765363E-3</c:v>
                </c:pt>
                <c:pt idx="65">
                  <c:v>1.4701516596167946E-3</c:v>
                </c:pt>
                <c:pt idx="66">
                  <c:v>1.4927693774570529E-3</c:v>
                </c:pt>
                <c:pt idx="67">
                  <c:v>1.5153870952973113E-3</c:v>
                </c:pt>
                <c:pt idx="68">
                  <c:v>1.5380048131375696E-3</c:v>
                </c:pt>
                <c:pt idx="69">
                  <c:v>1.5606225309778279E-3</c:v>
                </c:pt>
                <c:pt idx="70">
                  <c:v>1.5832402488180862E-3</c:v>
                </c:pt>
                <c:pt idx="71">
                  <c:v>1.6058579666583445E-3</c:v>
                </c:pt>
                <c:pt idx="72">
                  <c:v>1.6284756844986029E-3</c:v>
                </c:pt>
                <c:pt idx="73">
                  <c:v>1.6510934023388612E-3</c:v>
                </c:pt>
                <c:pt idx="74">
                  <c:v>1.6737111201791195E-3</c:v>
                </c:pt>
                <c:pt idx="75">
                  <c:v>1.6963288380193778E-3</c:v>
                </c:pt>
              </c:numCache>
            </c:numRef>
          </c:xVal>
          <c:yVal>
            <c:numRef>
              <c:f>Sim26k!$I$81:$I$156</c:f>
              <c:numCache>
                <c:formatCode>0.000</c:formatCode>
                <c:ptCount val="76"/>
                <c:pt idx="0">
                  <c:v>7.9999999999999964</c:v>
                </c:pt>
                <c:pt idx="1">
                  <c:v>7.9563169900745097</c:v>
                </c:pt>
                <c:pt idx="2">
                  <c:v>7.78751661448565</c:v>
                </c:pt>
                <c:pt idx="3">
                  <c:v>7.4966778211988343</c:v>
                </c:pt>
                <c:pt idx="4">
                  <c:v>7.0887905656091021</c:v>
                </c:pt>
                <c:pt idx="5">
                  <c:v>6.570670812961378</c:v>
                </c:pt>
                <c:pt idx="6">
                  <c:v>5.9508470782624805</c:v>
                </c:pt>
                <c:pt idx="7">
                  <c:v>5.2394203858550972</c:v>
                </c:pt>
                <c:pt idx="8">
                  <c:v>4.4478999429670436</c:v>
                </c:pt>
                <c:pt idx="9">
                  <c:v>3.5890171961825703</c:v>
                </c:pt>
                <c:pt idx="10">
                  <c:v>2.6765212711343116</c:v>
                </c:pt>
                <c:pt idx="11">
                  <c:v>1.7249590787135847</c:v>
                </c:pt>
                <c:pt idx="12">
                  <c:v>0.74944360145057121</c:v>
                </c:pt>
                <c:pt idx="13">
                  <c:v>-0.23458595202501364</c:v>
                </c:pt>
                <c:pt idx="14">
                  <c:v>-1.2116083209226651</c:v>
                </c:pt>
                <c:pt idx="15">
                  <c:v>-2.1662648357714862</c:v>
                </c:pt>
                <c:pt idx="16">
                  <c:v>-3.0836006781872913</c:v>
                </c:pt>
                <c:pt idx="17">
                  <c:v>-3.9492989699211161</c:v>
                </c:pt>
                <c:pt idx="18">
                  <c:v>-4.7499040298330897</c:v>
                </c:pt>
                <c:pt idx="19">
                  <c:v>-5.4730303203062034</c:v>
                </c:pt>
                <c:pt idx="20">
                  <c:v>-6.1075538416347515</c:v>
                </c:pt>
                <c:pt idx="21">
                  <c:v>-6.6437830201777075</c:v>
                </c:pt>
                <c:pt idx="22">
                  <c:v>-7.0736064688669265</c:v>
                </c:pt>
                <c:pt idx="23">
                  <c:v>-7.3906153716101777</c:v>
                </c:pt>
                <c:pt idx="24">
                  <c:v>-7.590198650223182</c:v>
                </c:pt>
                <c:pt idx="25">
                  <c:v>-7.6696095072384809</c:v>
                </c:pt>
                <c:pt idx="26">
                  <c:v>-7.6280023933350458</c:v>
                </c:pt>
                <c:pt idx="27">
                  <c:v>-7.4664399169716109</c:v>
                </c:pt>
                <c:pt idx="28">
                  <c:v>-7.187869688662099</c:v>
                </c:pt>
                <c:pt idx="29">
                  <c:v>-6.7970715657068093</c:v>
                </c:pt>
                <c:pt idx="30">
                  <c:v>-6.3005762276403363</c:v>
                </c:pt>
                <c:pt idx="31">
                  <c:v>-5.7065564608944701</c:v>
                </c:pt>
                <c:pt idx="32">
                  <c:v>-5.0246929561988489</c:v>
                </c:pt>
                <c:pt idx="33">
                  <c:v>-4.2660168174407103</c:v>
                </c:pt>
                <c:pt idx="34">
                  <c:v>-3.4427313399560173</c:v>
                </c:pt>
                <c:pt idx="35">
                  <c:v>-2.5680159339925424</c:v>
                </c:pt>
                <c:pt idx="36">
                  <c:v>-1.6558153405079397</c:v>
                </c:pt>
                <c:pt idx="37">
                  <c:v>-0.7206175074252239</c:v>
                </c:pt>
                <c:pt idx="38">
                  <c:v>0.22277633834449312</c:v>
                </c:pt>
                <c:pt idx="39">
                  <c:v>1.1594857768377529</c:v>
                </c:pt>
                <c:pt idx="40">
                  <c:v>2.0747857394750051</c:v>
                </c:pt>
                <c:pt idx="41">
                  <c:v>2.9543378177793262</c:v>
                </c:pt>
                <c:pt idx="42">
                  <c:v>3.7844147055433455</c:v>
                </c:pt>
                <c:pt idx="43">
                  <c:v>4.5521142639448806</c:v>
                </c:pt>
                <c:pt idx="44">
                  <c:v>5.2455598743103202</c:v>
                </c:pt>
                <c:pt idx="45">
                  <c:v>5.8540839703446022</c:v>
                </c:pt>
                <c:pt idx="46">
                  <c:v>6.3683919169367194</c:v>
                </c:pt>
                <c:pt idx="47">
                  <c:v>6.7807037216141</c:v>
                </c:pt>
                <c:pt idx="48">
                  <c:v>7.0848714221882929</c:v>
                </c:pt>
                <c:pt idx="49">
                  <c:v>7.2764703843515823</c:v>
                </c:pt>
                <c:pt idx="50">
                  <c:v>7.3528631596944836</c:v>
                </c:pt>
                <c:pt idx="51">
                  <c:v>7.3132349911683061</c:v>
                </c:pt>
                <c:pt idx="52">
                  <c:v>7.1586005024750579</c:v>
                </c:pt>
                <c:pt idx="53">
                  <c:v>6.891781563108843</c:v>
                </c:pt>
                <c:pt idx="54">
                  <c:v>6.5173567746122005</c:v>
                </c:pt>
                <c:pt idx="55">
                  <c:v>6.0415834689066559</c:v>
                </c:pt>
                <c:pt idx="56">
                  <c:v>5.4722935393273584</c:v>
                </c:pt>
                <c:pt idx="57">
                  <c:v>4.8187648325229269</c:v>
                </c:pt>
                <c:pt idx="58">
                  <c:v>4.0915702083320866</c:v>
                </c:pt>
                <c:pt idx="59">
                  <c:v>3.3024067192488968</c:v>
                </c:pt>
                <c:pt idx="60">
                  <c:v>2.4639076658297197</c:v>
                </c:pt>
                <c:pt idx="61">
                  <c:v>1.5894405447145386</c:v>
                </c:pt>
                <c:pt idx="62">
                  <c:v>0.6928941178831286</c:v>
                </c:pt>
                <c:pt idx="63">
                  <c:v>-0.21154200783073623</c:v>
                </c:pt>
                <c:pt idx="64">
                  <c:v>-1.1096017954379156</c:v>
                </c:pt>
                <c:pt idx="65">
                  <c:v>-1.9871676400632865</c:v>
                </c:pt>
                <c:pt idx="66">
                  <c:v>-2.8304921370406464</c:v>
                </c:pt>
                <c:pt idx="67">
                  <c:v>-3.626413274730417</c:v>
                </c:pt>
                <c:pt idx="68">
                  <c:v>-4.3625596862013838</c:v>
                </c:pt>
                <c:pt idx="69">
                  <c:v>-5.0275427617667487</c:v>
                </c:pt>
                <c:pt idx="70">
                  <c:v>-5.6111326419972132</c:v>
                </c:pt>
                <c:pt idx="71">
                  <c:v>-6.1044153746568917</c:v>
                </c:pt>
                <c:pt idx="72">
                  <c:v>-6.4999288247122511</c:v>
                </c:pt>
                <c:pt idx="73">
                  <c:v>-6.7917752691949405</c:v>
                </c:pt>
                <c:pt idx="74">
                  <c:v>-6.9757089827390226</c:v>
                </c:pt>
                <c:pt idx="75">
                  <c:v>-7.049197519065773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3A-4042-B0DE-66E41B8F4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47008"/>
        <c:axId val="178361088"/>
      </c:scatterChart>
      <c:valAx>
        <c:axId val="178342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[sec]</a:t>
                </a:r>
              </a:p>
            </c:rich>
          </c:tx>
          <c:layout>
            <c:manualLayout>
              <c:xMode val="edge"/>
              <c:yMode val="edge"/>
              <c:x val="0.4631384237085226"/>
              <c:y val="0.8886010362694301"/>
            </c:manualLayout>
          </c:layout>
          <c:overlay val="0"/>
          <c:spPr>
            <a:noFill/>
            <a:ln w="25400">
              <a:noFill/>
            </a:ln>
          </c:spPr>
        </c:title>
        <c:numFmt formatCode="##0.0E+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345088"/>
        <c:crossesAt val="-10000000000"/>
        <c:crossBetween val="midCat"/>
      </c:valAx>
      <c:valAx>
        <c:axId val="17834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Usec [kV]</a:t>
                </a:r>
              </a:p>
            </c:rich>
          </c:tx>
          <c:layout>
            <c:manualLayout>
              <c:xMode val="edge"/>
              <c:yMode val="edge"/>
              <c:x val="3.0245774609536168E-2"/>
              <c:y val="0.443005181347150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342528"/>
        <c:crosses val="autoZero"/>
        <c:crossBetween val="midCat"/>
      </c:valAx>
      <c:valAx>
        <c:axId val="17834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361088"/>
        <c:crosses val="autoZero"/>
        <c:crossBetween val="midCat"/>
      </c:valAx>
      <c:valAx>
        <c:axId val="1783610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0.91493468193846916"/>
              <c:y val="0.494818652849740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34700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349749074895398"/>
          <c:y val="0.13471502590673576"/>
          <c:w val="0.31190955066084175"/>
          <c:h val="6.73575129533678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Spark</a:t>
            </a:r>
          </a:p>
        </c:rich>
      </c:tx>
      <c:layout>
        <c:manualLayout>
          <c:xMode val="edge"/>
          <c:yMode val="edge"/>
          <c:x val="0.448105797037329"/>
          <c:y val="3.0120540993154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14732510950135E-2"/>
          <c:y val="0.22088396728313112"/>
          <c:w val="0.81219175713015879"/>
          <c:h val="0.69678851497496819"/>
        </c:manualLayout>
      </c:layout>
      <c:scatterChart>
        <c:scatterStyle val="lineMarker"/>
        <c:varyColors val="0"/>
        <c:ser>
          <c:idx val="1"/>
          <c:order val="1"/>
          <c:tx>
            <c:strRef>
              <c:f>Sim26k!$L$203:$L$204</c:f>
              <c:strCache>
                <c:ptCount val="2"/>
                <c:pt idx="0">
                  <c:v>Usec</c:v>
                </c:pt>
                <c:pt idx="1">
                  <c:v>[kV]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Sim26k!$H$205:$H$255</c:f>
              <c:numCache>
                <c:formatCode>##0.000E+0</c:formatCode>
                <c:ptCount val="51"/>
                <c:pt idx="0" formatCode="General">
                  <c:v>0</c:v>
                </c:pt>
                <c:pt idx="1">
                  <c:v>1.1319636360281348E-8</c:v>
                </c:pt>
                <c:pt idx="2">
                  <c:v>2.2639272720562695E-8</c:v>
                </c:pt>
                <c:pt idx="3">
                  <c:v>3.3958909080844041E-8</c:v>
                </c:pt>
                <c:pt idx="4">
                  <c:v>4.527854544112539E-8</c:v>
                </c:pt>
                <c:pt idx="5">
                  <c:v>5.659818180140674E-8</c:v>
                </c:pt>
                <c:pt idx="6">
                  <c:v>6.7917818161688082E-8</c:v>
                </c:pt>
                <c:pt idx="7">
                  <c:v>7.9237454521969432E-8</c:v>
                </c:pt>
                <c:pt idx="8">
                  <c:v>9.0557090882250781E-8</c:v>
                </c:pt>
                <c:pt idx="9">
                  <c:v>1.0187672724253213E-7</c:v>
                </c:pt>
                <c:pt idx="10">
                  <c:v>1.1319636360281348E-7</c:v>
                </c:pt>
                <c:pt idx="11">
                  <c:v>1.2451599996309483E-7</c:v>
                </c:pt>
                <c:pt idx="12">
                  <c:v>1.3583563632337616E-7</c:v>
                </c:pt>
                <c:pt idx="13">
                  <c:v>1.471552726836575E-7</c:v>
                </c:pt>
                <c:pt idx="14">
                  <c:v>1.5847490904393884E-7</c:v>
                </c:pt>
                <c:pt idx="15">
                  <c:v>1.6979454540422017E-7</c:v>
                </c:pt>
                <c:pt idx="16">
                  <c:v>1.8111418176450151E-7</c:v>
                </c:pt>
                <c:pt idx="17">
                  <c:v>1.9243381812478285E-7</c:v>
                </c:pt>
                <c:pt idx="18">
                  <c:v>2.0375345448506418E-7</c:v>
                </c:pt>
                <c:pt idx="19">
                  <c:v>2.1507309084534552E-7</c:v>
                </c:pt>
                <c:pt idx="20">
                  <c:v>2.2639272720562685E-7</c:v>
                </c:pt>
                <c:pt idx="21">
                  <c:v>2.3771236356590819E-7</c:v>
                </c:pt>
                <c:pt idx="22">
                  <c:v>2.4903199992618955E-7</c:v>
                </c:pt>
                <c:pt idx="23">
                  <c:v>2.6035163628647091E-7</c:v>
                </c:pt>
                <c:pt idx="24">
                  <c:v>2.7167127264675228E-7</c:v>
                </c:pt>
                <c:pt idx="25">
                  <c:v>2.8299090900703364E-7</c:v>
                </c:pt>
                <c:pt idx="26">
                  <c:v>2.94310545367315E-7</c:v>
                </c:pt>
                <c:pt idx="27">
                  <c:v>3.0563018172759636E-7</c:v>
                </c:pt>
                <c:pt idx="28">
                  <c:v>3.1694981808787773E-7</c:v>
                </c:pt>
                <c:pt idx="29">
                  <c:v>3.2826945444815909E-7</c:v>
                </c:pt>
                <c:pt idx="30">
                  <c:v>3.3958909080844045E-7</c:v>
                </c:pt>
                <c:pt idx="31">
                  <c:v>3.5090872716872181E-7</c:v>
                </c:pt>
                <c:pt idx="32">
                  <c:v>3.6222836352900318E-7</c:v>
                </c:pt>
                <c:pt idx="33">
                  <c:v>3.7354799988928454E-7</c:v>
                </c:pt>
                <c:pt idx="34">
                  <c:v>3.848676362495659E-7</c:v>
                </c:pt>
                <c:pt idx="35">
                  <c:v>3.9618727260984726E-7</c:v>
                </c:pt>
                <c:pt idx="36">
                  <c:v>4.0750690897012863E-7</c:v>
                </c:pt>
                <c:pt idx="37">
                  <c:v>4.1882654533040999E-7</c:v>
                </c:pt>
                <c:pt idx="38">
                  <c:v>4.3014618169069135E-7</c:v>
                </c:pt>
                <c:pt idx="39">
                  <c:v>4.4146581805097271E-7</c:v>
                </c:pt>
                <c:pt idx="40">
                  <c:v>4.5278545441125408E-7</c:v>
                </c:pt>
                <c:pt idx="41">
                  <c:v>4.6410509077153544E-7</c:v>
                </c:pt>
                <c:pt idx="42">
                  <c:v>4.754247271318168E-7</c:v>
                </c:pt>
                <c:pt idx="43">
                  <c:v>4.8674436349209811E-7</c:v>
                </c:pt>
                <c:pt idx="44">
                  <c:v>4.9806399985237942E-7</c:v>
                </c:pt>
                <c:pt idx="45">
                  <c:v>5.0938363621266073E-7</c:v>
                </c:pt>
                <c:pt idx="46">
                  <c:v>5.2070327257294204E-7</c:v>
                </c:pt>
                <c:pt idx="47">
                  <c:v>5.3202290893322335E-7</c:v>
                </c:pt>
                <c:pt idx="48">
                  <c:v>5.4334254529350466E-7</c:v>
                </c:pt>
                <c:pt idx="49">
                  <c:v>5.5466218165378597E-7</c:v>
                </c:pt>
              </c:numCache>
            </c:numRef>
          </c:xVal>
          <c:yVal>
            <c:numRef>
              <c:f>Sim26k!$L$205:$L$255</c:f>
              <c:numCache>
                <c:formatCode>General</c:formatCode>
                <c:ptCount val="51"/>
                <c:pt idx="0">
                  <c:v>31.40310685200409</c:v>
                </c:pt>
                <c:pt idx="1">
                  <c:v>987.82430014480724</c:v>
                </c:pt>
                <c:pt idx="2">
                  <c:v>1909.1733864604612</c:v>
                </c:pt>
                <c:pt idx="3">
                  <c:v>2762.8152812122034</c:v>
                </c:pt>
                <c:pt idx="4">
                  <c:v>3518.5160738047821</c:v>
                </c:pt>
                <c:pt idx="5">
                  <c:v>4149.5138386303979</c:v>
                </c:pt>
                <c:pt idx="6">
                  <c:v>4633.4663652378604</c:v>
                </c:pt>
                <c:pt idx="7">
                  <c:v>4953.2422453592953</c:v>
                </c:pt>
                <c:pt idx="8">
                  <c:v>5097.5273062085207</c:v>
                </c:pt>
                <c:pt idx="9">
                  <c:v>5061.2249229853942</c:v>
                </c:pt>
                <c:pt idx="10">
                  <c:v>4845.636046950417</c:v>
                </c:pt>
                <c:pt idx="11">
                  <c:v>4458.4125899928458</c:v>
                </c:pt>
                <c:pt idx="12">
                  <c:v>3913.2858357923383</c:v>
                </c:pt>
                <c:pt idx="13">
                  <c:v>3229.5795170235001</c:v>
                </c:pt>
                <c:pt idx="14">
                  <c:v>2431.5248252721749</c:v>
                </c:pt>
                <c:pt idx="15">
                  <c:v>1547.4016352628262</c:v>
                </c:pt>
                <c:pt idx="16">
                  <c:v>608.53637919065807</c:v>
                </c:pt>
                <c:pt idx="17">
                  <c:v>-351.8079175253182</c:v>
                </c:pt>
                <c:pt idx="18">
                  <c:v>-1299.6101106078227</c:v>
                </c:pt>
                <c:pt idx="19">
                  <c:v>-2201.2961692938429</c:v>
                </c:pt>
                <c:pt idx="20">
                  <c:v>-3024.9284701845731</c:v>
                </c:pt>
                <c:pt idx="21">
                  <c:v>-3741.3370241911339</c:v>
                </c:pt>
                <c:pt idx="22">
                  <c:v>-4325.1525686565028</c:v>
                </c:pt>
                <c:pt idx="23">
                  <c:v>-4755.7049363968363</c:v>
                </c:pt>
                <c:pt idx="24">
                  <c:v>-5017.7548888866913</c:v>
                </c:pt>
                <c:pt idx="25">
                  <c:v>-5102.0335028382815</c:v>
                </c:pt>
                <c:pt idx="26">
                  <c:v>-5005.5700188269266</c:v>
                </c:pt>
                <c:pt idx="27">
                  <c:v>-4731.7965557460575</c:v>
                </c:pt>
                <c:pt idx="28">
                  <c:v>-4290.4260001709217</c:v>
                </c:pt>
                <c:pt idx="29">
                  <c:v>-3697.1074150982145</c:v>
                </c:pt>
                <c:pt idx="30">
                  <c:v>-2972.8711933518225</c:v>
                </c:pt>
                <c:pt idx="31">
                  <c:v>-2143.3836280442001</c:v>
                </c:pt>
                <c:pt idx="32">
                  <c:v>-1238.0373220875897</c:v>
                </c:pt>
                <c:pt idx="33">
                  <c:v>-288.90967181816001</c:v>
                </c:pt>
                <c:pt idx="34">
                  <c:v>670.37366951611079</c:v>
                </c:pt>
                <c:pt idx="35">
                  <c:v>1605.8300797063771</c:v>
                </c:pt>
                <c:pt idx="36">
                  <c:v>2484.3238020915678</c:v>
                </c:pt>
                <c:pt idx="37">
                  <c:v>3274.7396807912164</c:v>
                </c:pt>
                <c:pt idx="38">
                  <c:v>3949.0852206052141</c:v>
                </c:pt>
                <c:pt idx="39">
                  <c:v>4483.48193800637</c:v>
                </c:pt>
                <c:pt idx="40">
                  <c:v>4859.0108946544406</c:v>
                </c:pt>
                <c:pt idx="41">
                  <c:v>5062.3824732286566</c:v>
                </c:pt>
                <c:pt idx="42">
                  <c:v>5086.4066839211418</c:v>
                </c:pt>
                <c:pt idx="43">
                  <c:v>4930.2473579276539</c:v>
                </c:pt>
                <c:pt idx="44">
                  <c:v>4599.4512412675504</c:v>
                </c:pt>
                <c:pt idx="45">
                  <c:v>4105.7509769704466</c:v>
                </c:pt>
                <c:pt idx="46">
                  <c:v>3466.6489735594187</c:v>
                </c:pt>
                <c:pt idx="47">
                  <c:v>2704.7969190933864</c:v>
                </c:pt>
                <c:pt idx="48">
                  <c:v>1847.1929378866107</c:v>
                </c:pt>
                <c:pt idx="49">
                  <c:v>924.22484504955389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47-439E-8E5A-D100E2369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25216"/>
        <c:axId val="178427392"/>
      </c:scatterChart>
      <c:scatterChart>
        <c:scatterStyle val="lineMarker"/>
        <c:varyColors val="0"/>
        <c:ser>
          <c:idx val="0"/>
          <c:order val="0"/>
          <c:tx>
            <c:strRef>
              <c:f>Sim26k!$I$203:$I$204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Sim26k!$H$205:$H$255</c:f>
              <c:numCache>
                <c:formatCode>##0.000E+0</c:formatCode>
                <c:ptCount val="51"/>
                <c:pt idx="0" formatCode="General">
                  <c:v>0</c:v>
                </c:pt>
                <c:pt idx="1">
                  <c:v>1.1319636360281348E-8</c:v>
                </c:pt>
                <c:pt idx="2">
                  <c:v>2.2639272720562695E-8</c:v>
                </c:pt>
                <c:pt idx="3">
                  <c:v>3.3958909080844041E-8</c:v>
                </c:pt>
                <c:pt idx="4">
                  <c:v>4.527854544112539E-8</c:v>
                </c:pt>
                <c:pt idx="5">
                  <c:v>5.659818180140674E-8</c:v>
                </c:pt>
                <c:pt idx="6">
                  <c:v>6.7917818161688082E-8</c:v>
                </c:pt>
                <c:pt idx="7">
                  <c:v>7.9237454521969432E-8</c:v>
                </c:pt>
                <c:pt idx="8">
                  <c:v>9.0557090882250781E-8</c:v>
                </c:pt>
                <c:pt idx="9">
                  <c:v>1.0187672724253213E-7</c:v>
                </c:pt>
                <c:pt idx="10">
                  <c:v>1.1319636360281348E-7</c:v>
                </c:pt>
                <c:pt idx="11">
                  <c:v>1.2451599996309483E-7</c:v>
                </c:pt>
                <c:pt idx="12">
                  <c:v>1.3583563632337616E-7</c:v>
                </c:pt>
                <c:pt idx="13">
                  <c:v>1.471552726836575E-7</c:v>
                </c:pt>
                <c:pt idx="14">
                  <c:v>1.5847490904393884E-7</c:v>
                </c:pt>
                <c:pt idx="15">
                  <c:v>1.6979454540422017E-7</c:v>
                </c:pt>
                <c:pt idx="16">
                  <c:v>1.8111418176450151E-7</c:v>
                </c:pt>
                <c:pt idx="17">
                  <c:v>1.9243381812478285E-7</c:v>
                </c:pt>
                <c:pt idx="18">
                  <c:v>2.0375345448506418E-7</c:v>
                </c:pt>
                <c:pt idx="19">
                  <c:v>2.1507309084534552E-7</c:v>
                </c:pt>
                <c:pt idx="20">
                  <c:v>2.2639272720562685E-7</c:v>
                </c:pt>
                <c:pt idx="21">
                  <c:v>2.3771236356590819E-7</c:v>
                </c:pt>
                <c:pt idx="22">
                  <c:v>2.4903199992618955E-7</c:v>
                </c:pt>
                <c:pt idx="23">
                  <c:v>2.6035163628647091E-7</c:v>
                </c:pt>
                <c:pt idx="24">
                  <c:v>2.7167127264675228E-7</c:v>
                </c:pt>
                <c:pt idx="25">
                  <c:v>2.8299090900703364E-7</c:v>
                </c:pt>
                <c:pt idx="26">
                  <c:v>2.94310545367315E-7</c:v>
                </c:pt>
                <c:pt idx="27">
                  <c:v>3.0563018172759636E-7</c:v>
                </c:pt>
                <c:pt idx="28">
                  <c:v>3.1694981808787773E-7</c:v>
                </c:pt>
                <c:pt idx="29">
                  <c:v>3.2826945444815909E-7</c:v>
                </c:pt>
                <c:pt idx="30">
                  <c:v>3.3958909080844045E-7</c:v>
                </c:pt>
                <c:pt idx="31">
                  <c:v>3.5090872716872181E-7</c:v>
                </c:pt>
                <c:pt idx="32">
                  <c:v>3.6222836352900318E-7</c:v>
                </c:pt>
                <c:pt idx="33">
                  <c:v>3.7354799988928454E-7</c:v>
                </c:pt>
                <c:pt idx="34">
                  <c:v>3.848676362495659E-7</c:v>
                </c:pt>
                <c:pt idx="35">
                  <c:v>3.9618727260984726E-7</c:v>
                </c:pt>
                <c:pt idx="36">
                  <c:v>4.0750690897012863E-7</c:v>
                </c:pt>
                <c:pt idx="37">
                  <c:v>4.1882654533040999E-7</c:v>
                </c:pt>
                <c:pt idx="38">
                  <c:v>4.3014618169069135E-7</c:v>
                </c:pt>
                <c:pt idx="39">
                  <c:v>4.4146581805097271E-7</c:v>
                </c:pt>
                <c:pt idx="40">
                  <c:v>4.5278545441125408E-7</c:v>
                </c:pt>
                <c:pt idx="41">
                  <c:v>4.6410509077153544E-7</c:v>
                </c:pt>
                <c:pt idx="42">
                  <c:v>4.754247271318168E-7</c:v>
                </c:pt>
                <c:pt idx="43">
                  <c:v>4.8674436349209811E-7</c:v>
                </c:pt>
                <c:pt idx="44">
                  <c:v>4.9806399985237942E-7</c:v>
                </c:pt>
                <c:pt idx="45">
                  <c:v>5.0938363621266073E-7</c:v>
                </c:pt>
                <c:pt idx="46">
                  <c:v>5.2070327257294204E-7</c:v>
                </c:pt>
                <c:pt idx="47">
                  <c:v>5.3202290893322335E-7</c:v>
                </c:pt>
                <c:pt idx="48">
                  <c:v>5.4334254529350466E-7</c:v>
                </c:pt>
                <c:pt idx="49">
                  <c:v>5.5466218165378597E-7</c:v>
                </c:pt>
              </c:numCache>
            </c:numRef>
          </c:xVal>
          <c:yVal>
            <c:numRef>
              <c:f>Sim26k!$I$205:$I$255</c:f>
              <c:numCache>
                <c:formatCode>0.000</c:formatCode>
                <c:ptCount val="51"/>
                <c:pt idx="0">
                  <c:v>48.998219417010375</c:v>
                </c:pt>
                <c:pt idx="1">
                  <c:v>48.130461080105754</c:v>
                </c:pt>
                <c:pt idx="2">
                  <c:v>45.557657246571601</c:v>
                </c:pt>
                <c:pt idx="3">
                  <c:v>41.370950770468198</c:v>
                </c:pt>
                <c:pt idx="4">
                  <c:v>35.718657808811137</c:v>
                </c:pt>
                <c:pt idx="5">
                  <c:v>28.801013648020469</c:v>
                </c:pt>
                <c:pt idx="6">
                  <c:v>20.863079269415529</c:v>
                </c:pt>
                <c:pt idx="7">
                  <c:v>12.186059942196916</c:v>
                </c:pt>
                <c:pt idx="8">
                  <c:v>3.0773433870726841</c:v>
                </c:pt>
                <c:pt idx="9">
                  <c:v>-6.1403895864685163</c:v>
                </c:pt>
                <c:pt idx="10">
                  <c:v>-15.140596208152553</c:v>
                </c:pt>
                <c:pt idx="11">
                  <c:v>-23.604439686794361</c:v>
                </c:pt>
                <c:pt idx="12">
                  <c:v>-31.232084162034813</c:v>
                </c:pt>
                <c:pt idx="13">
                  <c:v>-37.753316538662652</c:v>
                </c:pt>
                <c:pt idx="14">
                  <c:v>-42.937118919763527</c:v>
                </c:pt>
                <c:pt idx="15">
                  <c:v>-46.599852530495831</c:v>
                </c:pt>
                <c:pt idx="16">
                  <c:v>-48.611763212927443</c:v>
                </c:pt>
                <c:pt idx="17">
                  <c:v>-48.901578031546876</c:v>
                </c:pt>
                <c:pt idx="18">
                  <c:v>-47.45903015241457</c:v>
                </c:pt>
                <c:pt idx="19">
                  <c:v>-44.335222550856152</c:v>
                </c:pt>
                <c:pt idx="20">
                  <c:v>-39.640817663171752</c:v>
                </c:pt>
                <c:pt idx="21">
                  <c:v>-33.542117114849262</c:v>
                </c:pt>
                <c:pt idx="22">
                  <c:v>-26.255170402856962</c:v>
                </c:pt>
                <c:pt idx="23">
                  <c:v>-18.038121234872698</c:v>
                </c:pt>
                <c:pt idx="24">
                  <c:v>-9.1820626601846147</c:v>
                </c:pt>
                <c:pt idx="25">
                  <c:v>-7.2495379531528951E-4</c:v>
                </c:pt>
                <c:pt idx="26">
                  <c:v>9.1806384344424075</c:v>
                </c:pt>
                <c:pt idx="27">
                  <c:v>18.036773144883352</c:v>
                </c:pt>
                <c:pt idx="28">
                  <c:v>26.253946205378174</c:v>
                </c:pt>
                <c:pt idx="29">
                  <c:v>33.541060177684962</c:v>
                </c:pt>
                <c:pt idx="30">
                  <c:v>39.639965428846082</c:v>
                </c:pt>
                <c:pt idx="31">
                  <c:v>44.334605210193516</c:v>
                </c:pt>
                <c:pt idx="32">
                  <c:v>47.458669575014667</c:v>
                </c:pt>
                <c:pt idx="33">
                  <c:v>48.901486991043221</c:v>
                </c:pt>
                <c:pt idx="34">
                  <c:v>48.611944934475112</c:v>
                </c:pt>
                <c:pt idx="35">
                  <c:v>46.600300576518713</c:v>
                </c:pt>
                <c:pt idx="36">
                  <c:v>42.937817418008649</c:v>
                </c:pt>
                <c:pt idx="37">
                  <c:v>37.754240744482587</c:v>
                </c:pt>
                <c:pt idx="38">
                  <c:v>31.233201334979256</c:v>
                </c:pt>
                <c:pt idx="39">
                  <c:v>23.60571025045671</c:v>
                </c:pt>
                <c:pt idx="40">
                  <c:v>15.141975152183765</c:v>
                </c:pt>
                <c:pt idx="41">
                  <c:v>6.1418280610912266</c:v>
                </c:pt>
                <c:pt idx="42">
                  <c:v>-3.0758963405366795</c:v>
                </c:pt>
                <c:pt idx="43">
                  <c:v>-12.184655586090086</c:v>
                </c:pt>
                <c:pt idx="44">
                  <c:v>-20.861767353750661</c:v>
                </c:pt>
                <c:pt idx="45">
                  <c:v>-28.79984064806181</c:v>
                </c:pt>
                <c:pt idx="46">
                  <c:v>-35.71766527866501</c:v>
                </c:pt>
                <c:pt idx="47">
                  <c:v>-41.370173871008205</c:v>
                </c:pt>
                <c:pt idx="48">
                  <c:v>-45.557123499847066</c:v>
                </c:pt>
                <c:pt idx="49">
                  <c:v>-48.130189394359597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47-439E-8E5A-D100E2369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28928"/>
        <c:axId val="178443008"/>
      </c:scatterChart>
      <c:valAx>
        <c:axId val="17842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427392"/>
        <c:crossesAt val="-10000000000"/>
        <c:crossBetween val="midCat"/>
      </c:valAx>
      <c:valAx>
        <c:axId val="17842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425216"/>
        <c:crosses val="autoZero"/>
        <c:crossBetween val="midCat"/>
      </c:valAx>
      <c:valAx>
        <c:axId val="17842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443008"/>
        <c:crosses val="autoZero"/>
        <c:crossBetween val="midCat"/>
      </c:valAx>
      <c:valAx>
        <c:axId val="178443008"/>
        <c:scaling>
          <c:orientation val="minMax"/>
        </c:scaling>
        <c:delete val="0"/>
        <c:axPos val="r"/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428928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243851230960433"/>
          <c:y val="0.13052234430366838"/>
          <c:w val="0.26194419753285042"/>
          <c:h val="4.81928655890467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Charge Cycle:  i [A]</a:t>
            </a:r>
          </a:p>
        </c:rich>
      </c:tx>
      <c:layout>
        <c:manualLayout>
          <c:xMode val="edge"/>
          <c:yMode val="edge"/>
          <c:x val="0.2954548435228519"/>
          <c:y val="3.4285714285714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9600950737012"/>
          <c:y val="0.22"/>
          <c:w val="0.77272805229053576"/>
          <c:h val="0.58571428571428574"/>
        </c:manualLayout>
      </c:layout>
      <c:scatterChart>
        <c:scatterStyle val="lineMarker"/>
        <c:varyColors val="0"/>
        <c:ser>
          <c:idx val="0"/>
          <c:order val="0"/>
          <c:tx>
            <c:strRef>
              <c:f>Sim48k!$I$33:$I$34</c:f>
              <c:strCache>
                <c:ptCount val="2"/>
                <c:pt idx="0">
                  <c:v>i</c:v>
                </c:pt>
                <c:pt idx="1">
                  <c:v>[A]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Sim48k!$H$35:$H$61</c:f>
              <c:numCache>
                <c:formatCode>General</c:formatCode>
                <c:ptCount val="27"/>
                <c:pt idx="0">
                  <c:v>0</c:v>
                </c:pt>
                <c:pt idx="1">
                  <c:v>7.7669249224727934E-4</c:v>
                </c:pt>
                <c:pt idx="2">
                  <c:v>1.5533849844945587E-3</c:v>
                </c:pt>
                <c:pt idx="3">
                  <c:v>2.3300774767418381E-3</c:v>
                </c:pt>
                <c:pt idx="4">
                  <c:v>3.1067699689891174E-3</c:v>
                </c:pt>
                <c:pt idx="5">
                  <c:v>3.8834624612363966E-3</c:v>
                </c:pt>
                <c:pt idx="6">
                  <c:v>4.6601549534836762E-3</c:v>
                </c:pt>
                <c:pt idx="7">
                  <c:v>5.4368474457309555E-3</c:v>
                </c:pt>
                <c:pt idx="8">
                  <c:v>6.2135399379782347E-3</c:v>
                </c:pt>
                <c:pt idx="9">
                  <c:v>6.9902324302255139E-3</c:v>
                </c:pt>
                <c:pt idx="10">
                  <c:v>7.7669249224727932E-3</c:v>
                </c:pt>
                <c:pt idx="11">
                  <c:v>8.5436174147200724E-3</c:v>
                </c:pt>
                <c:pt idx="12">
                  <c:v>9.3203099069673525E-3</c:v>
                </c:pt>
                <c:pt idx="13">
                  <c:v>1.0097002399214633E-2</c:v>
                </c:pt>
                <c:pt idx="14">
                  <c:v>1.0873694891461913E-2</c:v>
                </c:pt>
                <c:pt idx="15">
                  <c:v>1.1650387383709193E-2</c:v>
                </c:pt>
                <c:pt idx="16">
                  <c:v>1.2427079875956473E-2</c:v>
                </c:pt>
                <c:pt idx="17">
                  <c:v>1.3203772368203753E-2</c:v>
                </c:pt>
                <c:pt idx="18">
                  <c:v>1.3980464860451033E-2</c:v>
                </c:pt>
                <c:pt idx="19">
                  <c:v>1.4757157352698313E-2</c:v>
                </c:pt>
                <c:pt idx="20">
                  <c:v>1.5533849844945593E-2</c:v>
                </c:pt>
                <c:pt idx="21">
                  <c:v>1.6310542337192872E-2</c:v>
                </c:pt>
                <c:pt idx="22">
                  <c:v>1.7087234829440152E-2</c:v>
                </c:pt>
                <c:pt idx="23">
                  <c:v>1.7863927321687432E-2</c:v>
                </c:pt>
                <c:pt idx="24">
                  <c:v>1.8640619813934712E-2</c:v>
                </c:pt>
                <c:pt idx="25">
                  <c:v>1.9417312306181992E-2</c:v>
                </c:pt>
                <c:pt idx="26">
                  <c:v>2.0194004798429272E-2</c:v>
                </c:pt>
              </c:numCache>
            </c:numRef>
          </c:xVal>
          <c:yVal>
            <c:numRef>
              <c:f>Sim48k!$I$35:$I$61</c:f>
              <c:numCache>
                <c:formatCode>0.0</c:formatCode>
                <c:ptCount val="27"/>
                <c:pt idx="0">
                  <c:v>0</c:v>
                </c:pt>
                <c:pt idx="1">
                  <c:v>0.13011654925776162</c:v>
                </c:pt>
                <c:pt idx="2">
                  <c:v>0.25254391315471103</c:v>
                </c:pt>
                <c:pt idx="3">
                  <c:v>0.36773648101987833</c:v>
                </c:pt>
                <c:pt idx="4">
                  <c:v>0.47612179022689788</c:v>
                </c:pt>
                <c:pt idx="5">
                  <c:v>0.57810211299955705</c:v>
                </c:pt>
                <c:pt idx="6">
                  <c:v>0.67405594944570768</c:v>
                </c:pt>
                <c:pt idx="7">
                  <c:v>0.76433943236093305</c:v>
                </c:pt>
                <c:pt idx="8">
                  <c:v>0.84928764901591014</c:v>
                </c:pt>
                <c:pt idx="9">
                  <c:v>0.92921588483327233</c:v>
                </c:pt>
                <c:pt idx="10">
                  <c:v>1.0044207935698883</c:v>
                </c:pt>
                <c:pt idx="11">
                  <c:v>1.0751814983476886</c:v>
                </c:pt>
                <c:pt idx="12">
                  <c:v>1.141760627619514</c:v>
                </c:pt>
                <c:pt idx="13">
                  <c:v>1.2044052899149802</c:v>
                </c:pt>
                <c:pt idx="14">
                  <c:v>1.2633479909841219</c:v>
                </c:pt>
                <c:pt idx="15">
                  <c:v>1.3188074967428061</c:v>
                </c:pt>
                <c:pt idx="16">
                  <c:v>1.3709896452227264</c:v>
                </c:pt>
                <c:pt idx="17">
                  <c:v>1.4200881105395413</c:v>
                </c:pt>
                <c:pt idx="18">
                  <c:v>1.4662851217146196</c:v>
                </c:pt>
                <c:pt idx="19">
                  <c:v>1.5097521390183037</c:v>
                </c:pt>
                <c:pt idx="20">
                  <c:v>1.5506504903449367</c:v>
                </c:pt>
                <c:pt idx="21">
                  <c:v>1.589131969981566</c:v>
                </c:pt>
                <c:pt idx="22">
                  <c:v>1.625339401992645</c:v>
                </c:pt>
                <c:pt idx="23">
                  <c:v>1.659407170311747</c:v>
                </c:pt>
                <c:pt idx="24">
                  <c:v>1.6914617175077171</c:v>
                </c:pt>
                <c:pt idx="25">
                  <c:v>1.72162201407644</c:v>
                </c:pt>
                <c:pt idx="26">
                  <c:v>1.7500000000000002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85-4A31-90F5-6DBDE09CF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89888"/>
        <c:axId val="174822144"/>
      </c:scatterChart>
      <c:valAx>
        <c:axId val="177989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 [sec]</a:t>
                </a:r>
              </a:p>
            </c:rich>
          </c:tx>
          <c:layout>
            <c:manualLayout>
              <c:xMode val="edge"/>
              <c:yMode val="edge"/>
              <c:x val="0.48553767991517616"/>
              <c:y val="0.89142857142857146"/>
            </c:manualLayout>
          </c:layout>
          <c:overlay val="0"/>
          <c:spPr>
            <a:noFill/>
            <a:ln w="25400">
              <a:noFill/>
            </a:ln>
          </c:spPr>
        </c:title>
        <c:numFmt formatCode="##0.0E+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822144"/>
        <c:crosses val="autoZero"/>
        <c:crossBetween val="midCat"/>
      </c:valAx>
      <c:valAx>
        <c:axId val="17482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i [A]</a:t>
                </a:r>
              </a:p>
            </c:rich>
          </c:tx>
          <c:layout>
            <c:manualLayout>
              <c:xMode val="edge"/>
              <c:yMode val="edge"/>
              <c:x val="3.3057884589969444E-2"/>
              <c:y val="0.471428571428571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989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28575</xdr:rowOff>
    </xdr:from>
    <xdr:to>
      <xdr:col>9</xdr:col>
      <xdr:colOff>323850</xdr:colOff>
      <xdr:row>18</xdr:row>
      <xdr:rowOff>133350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>
          <a:spLocks noChangeArrowheads="1"/>
        </xdr:cNvSpPr>
      </xdr:nvSpPr>
      <xdr:spPr bwMode="auto">
        <a:xfrm>
          <a:off x="4876800" y="1876425"/>
          <a:ext cx="933450" cy="1400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11</xdr:row>
      <xdr:rowOff>19050</xdr:rowOff>
    </xdr:from>
    <xdr:to>
      <xdr:col>8</xdr:col>
      <xdr:colOff>0</xdr:colOff>
      <xdr:row>18</xdr:row>
      <xdr:rowOff>38100</xdr:rowOff>
    </xdr:to>
    <xdr:sp macro="" textlink="">
      <xdr:nvSpPr>
        <xdr:cNvPr id="16386" name="Rectangle 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>
          <a:spLocks noChangeArrowheads="1"/>
        </xdr:cNvSpPr>
      </xdr:nvSpPr>
      <xdr:spPr bwMode="auto">
        <a:xfrm>
          <a:off x="4733925" y="2028825"/>
          <a:ext cx="14287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323850</xdr:colOff>
      <xdr:row>10</xdr:row>
      <xdr:rowOff>152400</xdr:rowOff>
    </xdr:from>
    <xdr:to>
      <xdr:col>9</xdr:col>
      <xdr:colOff>466725</xdr:colOff>
      <xdr:row>18</xdr:row>
      <xdr:rowOff>9525</xdr:rowOff>
    </xdr:to>
    <xdr:sp macro="" textlink="">
      <xdr:nvSpPr>
        <xdr:cNvPr id="16387" name="Rectangle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>
          <a:spLocks noChangeArrowheads="1"/>
        </xdr:cNvSpPr>
      </xdr:nvSpPr>
      <xdr:spPr bwMode="auto">
        <a:xfrm>
          <a:off x="5810250" y="2000250"/>
          <a:ext cx="14287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13</xdr:row>
      <xdr:rowOff>9525</xdr:rowOff>
    </xdr:from>
    <xdr:to>
      <xdr:col>7</xdr:col>
      <xdr:colOff>466725</xdr:colOff>
      <xdr:row>15</xdr:row>
      <xdr:rowOff>152400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>
          <a:spLocks noChangeArrowheads="1"/>
        </xdr:cNvSpPr>
      </xdr:nvSpPr>
      <xdr:spPr bwMode="auto">
        <a:xfrm>
          <a:off x="4552950" y="2343150"/>
          <a:ext cx="18097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13</xdr:row>
      <xdr:rowOff>9525</xdr:rowOff>
    </xdr:from>
    <xdr:to>
      <xdr:col>10</xdr:col>
      <xdr:colOff>38100</xdr:colOff>
      <xdr:row>15</xdr:row>
      <xdr:rowOff>152400</xdr:rowOff>
    </xdr:to>
    <xdr:sp macro="" textlink="">
      <xdr:nvSpPr>
        <xdr:cNvPr id="16389" name="Rectangle 5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>
          <a:spLocks noChangeArrowheads="1"/>
        </xdr:cNvSpPr>
      </xdr:nvSpPr>
      <xdr:spPr bwMode="auto">
        <a:xfrm>
          <a:off x="5953125" y="2343150"/>
          <a:ext cx="18097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600075</xdr:colOff>
      <xdr:row>18</xdr:row>
      <xdr:rowOff>123825</xdr:rowOff>
    </xdr:from>
    <xdr:to>
      <xdr:col>7</xdr:col>
      <xdr:colOff>600075</xdr:colOff>
      <xdr:row>22</xdr:row>
      <xdr:rowOff>66675</xdr:rowOff>
    </xdr:to>
    <xdr:sp macro="" textlink="">
      <xdr:nvSpPr>
        <xdr:cNvPr id="16390" name="Line 6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>
          <a:spLocks noChangeShapeType="1"/>
        </xdr:cNvSpPr>
      </xdr:nvSpPr>
      <xdr:spPr bwMode="auto">
        <a:xfrm>
          <a:off x="4867275" y="326707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323850</xdr:colOff>
      <xdr:row>18</xdr:row>
      <xdr:rowOff>142875</xdr:rowOff>
    </xdr:from>
    <xdr:to>
      <xdr:col>9</xdr:col>
      <xdr:colOff>323850</xdr:colOff>
      <xdr:row>22</xdr:row>
      <xdr:rowOff>85725</xdr:rowOff>
    </xdr:to>
    <xdr:sp macro="" textlink="">
      <xdr:nvSpPr>
        <xdr:cNvPr id="16391" name="Line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>
          <a:spLocks noChangeShapeType="1"/>
        </xdr:cNvSpPr>
      </xdr:nvSpPr>
      <xdr:spPr bwMode="auto">
        <a:xfrm>
          <a:off x="5810250" y="328612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18</xdr:row>
      <xdr:rowOff>0</xdr:rowOff>
    </xdr:from>
    <xdr:to>
      <xdr:col>7</xdr:col>
      <xdr:colOff>457200</xdr:colOff>
      <xdr:row>24</xdr:row>
      <xdr:rowOff>66675</xdr:rowOff>
    </xdr:to>
    <xdr:sp macro="" textlink="">
      <xdr:nvSpPr>
        <xdr:cNvPr id="16392" name="Line 8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>
          <a:spLocks noChangeShapeType="1"/>
        </xdr:cNvSpPr>
      </xdr:nvSpPr>
      <xdr:spPr bwMode="auto">
        <a:xfrm>
          <a:off x="4724400" y="3143250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18</xdr:row>
      <xdr:rowOff>0</xdr:rowOff>
    </xdr:from>
    <xdr:to>
      <xdr:col>9</xdr:col>
      <xdr:colOff>466725</xdr:colOff>
      <xdr:row>24</xdr:row>
      <xdr:rowOff>66675</xdr:rowOff>
    </xdr:to>
    <xdr:sp macro="" textlink="">
      <xdr:nvSpPr>
        <xdr:cNvPr id="16393" name="Line 9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>
          <a:spLocks noChangeShapeType="1"/>
        </xdr:cNvSpPr>
      </xdr:nvSpPr>
      <xdr:spPr bwMode="auto">
        <a:xfrm>
          <a:off x="5953125" y="3143250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15</xdr:row>
      <xdr:rowOff>152400</xdr:rowOff>
    </xdr:from>
    <xdr:to>
      <xdr:col>7</xdr:col>
      <xdr:colOff>266700</xdr:colOff>
      <xdr:row>26</xdr:row>
      <xdr:rowOff>57150</xdr:rowOff>
    </xdr:to>
    <xdr:sp macro="" textlink="">
      <xdr:nvSpPr>
        <xdr:cNvPr id="16394" name="Line 10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>
          <a:spLocks noChangeShapeType="1"/>
        </xdr:cNvSpPr>
      </xdr:nvSpPr>
      <xdr:spPr bwMode="auto">
        <a:xfrm>
          <a:off x="4533900" y="2809875"/>
          <a:ext cx="0" cy="1685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16</xdr:row>
      <xdr:rowOff>9525</xdr:rowOff>
    </xdr:from>
    <xdr:to>
      <xdr:col>10</xdr:col>
      <xdr:colOff>28575</xdr:colOff>
      <xdr:row>26</xdr:row>
      <xdr:rowOff>76200</xdr:rowOff>
    </xdr:to>
    <xdr:sp macro="" textlink="">
      <xdr:nvSpPr>
        <xdr:cNvPr id="16395" name="Line 11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>
          <a:spLocks noChangeShapeType="1"/>
        </xdr:cNvSpPr>
      </xdr:nvSpPr>
      <xdr:spPr bwMode="auto">
        <a:xfrm>
          <a:off x="6124575" y="2828925"/>
          <a:ext cx="0" cy="1685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10</xdr:row>
      <xdr:rowOff>152400</xdr:rowOff>
    </xdr:from>
    <xdr:to>
      <xdr:col>11</xdr:col>
      <xdr:colOff>66675</xdr:colOff>
      <xdr:row>10</xdr:row>
      <xdr:rowOff>152400</xdr:rowOff>
    </xdr:to>
    <xdr:sp macro="" textlink="">
      <xdr:nvSpPr>
        <xdr:cNvPr id="16396" name="Line 12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>
          <a:spLocks noChangeShapeType="1"/>
        </xdr:cNvSpPr>
      </xdr:nvSpPr>
      <xdr:spPr bwMode="auto">
        <a:xfrm>
          <a:off x="5953125" y="20002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18</xdr:row>
      <xdr:rowOff>0</xdr:rowOff>
    </xdr:from>
    <xdr:to>
      <xdr:col>11</xdr:col>
      <xdr:colOff>76200</xdr:colOff>
      <xdr:row>18</xdr:row>
      <xdr:rowOff>0</xdr:rowOff>
    </xdr:to>
    <xdr:sp macro="" textlink="">
      <xdr:nvSpPr>
        <xdr:cNvPr id="16397" name="Line 13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>
          <a:spLocks noChangeShapeType="1"/>
        </xdr:cNvSpPr>
      </xdr:nvSpPr>
      <xdr:spPr bwMode="auto">
        <a:xfrm>
          <a:off x="5962650" y="31432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13</xdr:row>
      <xdr:rowOff>0</xdr:rowOff>
    </xdr:from>
    <xdr:to>
      <xdr:col>10</xdr:col>
      <xdr:colOff>485775</xdr:colOff>
      <xdr:row>13</xdr:row>
      <xdr:rowOff>0</xdr:rowOff>
    </xdr:to>
    <xdr:sp macro="" textlink="">
      <xdr:nvSpPr>
        <xdr:cNvPr id="16398" name="Line 14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>
          <a:spLocks noChangeShapeType="1"/>
        </xdr:cNvSpPr>
      </xdr:nvSpPr>
      <xdr:spPr bwMode="auto">
        <a:xfrm>
          <a:off x="6134100" y="233362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15</xdr:row>
      <xdr:rowOff>152400</xdr:rowOff>
    </xdr:from>
    <xdr:to>
      <xdr:col>10</xdr:col>
      <xdr:colOff>504825</xdr:colOff>
      <xdr:row>15</xdr:row>
      <xdr:rowOff>152400</xdr:rowOff>
    </xdr:to>
    <xdr:sp macro="" textlink="">
      <xdr:nvSpPr>
        <xdr:cNvPr id="16399" name="Line 15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>
          <a:spLocks noChangeShapeType="1"/>
        </xdr:cNvSpPr>
      </xdr:nvSpPr>
      <xdr:spPr bwMode="auto">
        <a:xfrm>
          <a:off x="6153150" y="2809875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0</xdr:rowOff>
    </xdr:from>
    <xdr:to>
      <xdr:col>10</xdr:col>
      <xdr:colOff>28575</xdr:colOff>
      <xdr:row>26</xdr:row>
      <xdr:rowOff>0</xdr:rowOff>
    </xdr:to>
    <xdr:sp macro="" textlink="">
      <xdr:nvSpPr>
        <xdr:cNvPr id="16400" name="Line 16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>
          <a:spLocks noChangeShapeType="1"/>
        </xdr:cNvSpPr>
      </xdr:nvSpPr>
      <xdr:spPr bwMode="auto">
        <a:xfrm>
          <a:off x="4533900" y="443865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22</xdr:row>
      <xdr:rowOff>0</xdr:rowOff>
    </xdr:from>
    <xdr:to>
      <xdr:col>9</xdr:col>
      <xdr:colOff>304800</xdr:colOff>
      <xdr:row>22</xdr:row>
      <xdr:rowOff>0</xdr:rowOff>
    </xdr:to>
    <xdr:sp macro="" textlink="">
      <xdr:nvSpPr>
        <xdr:cNvPr id="16401" name="Line 17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>
          <a:spLocks noChangeShapeType="1"/>
        </xdr:cNvSpPr>
      </xdr:nvSpPr>
      <xdr:spPr bwMode="auto">
        <a:xfrm>
          <a:off x="4905375" y="379095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476250</xdr:colOff>
      <xdr:row>24</xdr:row>
      <xdr:rowOff>0</xdr:rowOff>
    </xdr:from>
    <xdr:to>
      <xdr:col>9</xdr:col>
      <xdr:colOff>466725</xdr:colOff>
      <xdr:row>24</xdr:row>
      <xdr:rowOff>0</xdr:rowOff>
    </xdr:to>
    <xdr:sp macro="" textlink="">
      <xdr:nvSpPr>
        <xdr:cNvPr id="16402" name="Line 18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>
          <a:spLocks noChangeShapeType="1"/>
        </xdr:cNvSpPr>
      </xdr:nvSpPr>
      <xdr:spPr bwMode="auto">
        <a:xfrm>
          <a:off x="4743450" y="4114800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10</xdr:row>
      <xdr:rowOff>38100</xdr:rowOff>
    </xdr:from>
    <xdr:to>
      <xdr:col>9</xdr:col>
      <xdr:colOff>190500</xdr:colOff>
      <xdr:row>18</xdr:row>
      <xdr:rowOff>142875</xdr:rowOff>
    </xdr:to>
    <xdr:sp macro="" textlink="">
      <xdr:nvSpPr>
        <xdr:cNvPr id="16403" name="Line 19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>
          <a:spLocks noChangeShapeType="1"/>
        </xdr:cNvSpPr>
      </xdr:nvSpPr>
      <xdr:spPr bwMode="auto">
        <a:xfrm rot="16200000" flipH="1">
          <a:off x="4976812" y="2586038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13</xdr:row>
      <xdr:rowOff>9525</xdr:rowOff>
    </xdr:from>
    <xdr:to>
      <xdr:col>10</xdr:col>
      <xdr:colOff>342900</xdr:colOff>
      <xdr:row>16</xdr:row>
      <xdr:rowOff>9525</xdr:rowOff>
    </xdr:to>
    <xdr:sp macro="" textlink="">
      <xdr:nvSpPr>
        <xdr:cNvPr id="16404" name="Line 20">
          <a:extLst>
            <a:ext uri="{FF2B5EF4-FFF2-40B4-BE49-F238E27FC236}">
              <a16:creationId xmlns:a16="http://schemas.microsoft.com/office/drawing/2014/main" id="{00000000-0008-0000-0100-000014400000}"/>
            </a:ext>
          </a:extLst>
        </xdr:cNvPr>
        <xdr:cNvSpPr>
          <a:spLocks noChangeShapeType="1"/>
        </xdr:cNvSpPr>
      </xdr:nvSpPr>
      <xdr:spPr bwMode="auto">
        <a:xfrm rot="16200000" flipH="1">
          <a:off x="6196012" y="2586038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600075</xdr:colOff>
      <xdr:row>11</xdr:row>
      <xdr:rowOff>9525</xdr:rowOff>
    </xdr:from>
    <xdr:to>
      <xdr:col>10</xdr:col>
      <xdr:colOff>600075</xdr:colOff>
      <xdr:row>18</xdr:row>
      <xdr:rowOff>9525</xdr:rowOff>
    </xdr:to>
    <xdr:sp macro="" textlink="">
      <xdr:nvSpPr>
        <xdr:cNvPr id="16405" name="Line 21">
          <a:extLst>
            <a:ext uri="{FF2B5EF4-FFF2-40B4-BE49-F238E27FC236}">
              <a16:creationId xmlns:a16="http://schemas.microsoft.com/office/drawing/2014/main" id="{00000000-0008-0000-0100-000015400000}"/>
            </a:ext>
          </a:extLst>
        </xdr:cNvPr>
        <xdr:cNvSpPr>
          <a:spLocks noChangeShapeType="1"/>
        </xdr:cNvSpPr>
      </xdr:nvSpPr>
      <xdr:spPr bwMode="auto">
        <a:xfrm rot="16200000" flipH="1">
          <a:off x="6129337" y="2586038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14</xdr:row>
      <xdr:rowOff>19050</xdr:rowOff>
    </xdr:from>
    <xdr:to>
      <xdr:col>11</xdr:col>
      <xdr:colOff>9525</xdr:colOff>
      <xdr:row>15</xdr:row>
      <xdr:rowOff>38100</xdr:rowOff>
    </xdr:to>
    <xdr:sp macro="" textlink="">
      <xdr:nvSpPr>
        <xdr:cNvPr id="16406" name="Text Box 22">
          <a:extLst>
            <a:ext uri="{FF2B5EF4-FFF2-40B4-BE49-F238E27FC236}">
              <a16:creationId xmlns:a16="http://schemas.microsoft.com/office/drawing/2014/main" id="{00000000-0008-0000-0100-000016400000}"/>
            </a:ext>
          </a:extLst>
        </xdr:cNvPr>
        <xdr:cNvSpPr txBox="1">
          <a:spLocks noChangeArrowheads="1"/>
        </xdr:cNvSpPr>
      </xdr:nvSpPr>
      <xdr:spPr bwMode="auto">
        <a:xfrm>
          <a:off x="6543675" y="2514600"/>
          <a:ext cx="171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de-CH"/>
        </a:p>
      </xdr:txBody>
    </xdr:sp>
    <xdr:clientData/>
  </xdr:twoCellAnchor>
  <xdr:twoCellAnchor>
    <xdr:from>
      <xdr:col>8</xdr:col>
      <xdr:colOff>323850</xdr:colOff>
      <xdr:row>21</xdr:row>
      <xdr:rowOff>9525</xdr:rowOff>
    </xdr:from>
    <xdr:to>
      <xdr:col>8</xdr:col>
      <xdr:colOff>533400</xdr:colOff>
      <xdr:row>22</xdr:row>
      <xdr:rowOff>19050</xdr:rowOff>
    </xdr:to>
    <xdr:sp macro="" textlink="">
      <xdr:nvSpPr>
        <xdr:cNvPr id="16407" name="Text Box 23">
          <a:extLst>
            <a:ext uri="{FF2B5EF4-FFF2-40B4-BE49-F238E27FC236}">
              <a16:creationId xmlns:a16="http://schemas.microsoft.com/office/drawing/2014/main" id="{00000000-0008-0000-0100-000017400000}"/>
            </a:ext>
          </a:extLst>
        </xdr:cNvPr>
        <xdr:cNvSpPr txBox="1">
          <a:spLocks noChangeArrowheads="1"/>
        </xdr:cNvSpPr>
      </xdr:nvSpPr>
      <xdr:spPr bwMode="auto">
        <a:xfrm>
          <a:off x="5200650" y="3638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  <a:endParaRPr lang="de-CH"/>
        </a:p>
      </xdr:txBody>
    </xdr:sp>
    <xdr:clientData/>
  </xdr:twoCellAnchor>
  <xdr:twoCellAnchor>
    <xdr:from>
      <xdr:col>8</xdr:col>
      <xdr:colOff>285750</xdr:colOff>
      <xdr:row>24</xdr:row>
      <xdr:rowOff>133350</xdr:rowOff>
    </xdr:from>
    <xdr:to>
      <xdr:col>8</xdr:col>
      <xdr:colOff>495300</xdr:colOff>
      <xdr:row>25</xdr:row>
      <xdr:rowOff>142875</xdr:rowOff>
    </xdr:to>
    <xdr:sp macro="" textlink="">
      <xdr:nvSpPr>
        <xdr:cNvPr id="16408" name="Text Box 24">
          <a:extLst>
            <a:ext uri="{FF2B5EF4-FFF2-40B4-BE49-F238E27FC236}">
              <a16:creationId xmlns:a16="http://schemas.microsoft.com/office/drawing/2014/main" id="{00000000-0008-0000-0100-000018400000}"/>
            </a:ext>
          </a:extLst>
        </xdr:cNvPr>
        <xdr:cNvSpPr txBox="1">
          <a:spLocks noChangeArrowheads="1"/>
        </xdr:cNvSpPr>
      </xdr:nvSpPr>
      <xdr:spPr bwMode="auto">
        <a:xfrm>
          <a:off x="5162550" y="4248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44</a:t>
          </a:r>
          <a:endParaRPr lang="de-CH"/>
        </a:p>
      </xdr:txBody>
    </xdr:sp>
    <xdr:clientData/>
  </xdr:twoCellAnchor>
  <xdr:twoCellAnchor>
    <xdr:from>
      <xdr:col>8</xdr:col>
      <xdr:colOff>314325</xdr:colOff>
      <xdr:row>22</xdr:row>
      <xdr:rowOff>152400</xdr:rowOff>
    </xdr:from>
    <xdr:to>
      <xdr:col>8</xdr:col>
      <xdr:colOff>523875</xdr:colOff>
      <xdr:row>24</xdr:row>
      <xdr:rowOff>0</xdr:rowOff>
    </xdr:to>
    <xdr:sp macro="" textlink="">
      <xdr:nvSpPr>
        <xdr:cNvPr id="16409" name="Text Box 25">
          <a:extLst>
            <a:ext uri="{FF2B5EF4-FFF2-40B4-BE49-F238E27FC236}">
              <a16:creationId xmlns:a16="http://schemas.microsoft.com/office/drawing/2014/main" id="{00000000-0008-0000-0100-000019400000}"/>
            </a:ext>
          </a:extLst>
        </xdr:cNvPr>
        <xdr:cNvSpPr txBox="1">
          <a:spLocks noChangeArrowheads="1"/>
        </xdr:cNvSpPr>
      </xdr:nvSpPr>
      <xdr:spPr bwMode="auto">
        <a:xfrm>
          <a:off x="5191125" y="39433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34</a:t>
          </a:r>
          <a:endParaRPr lang="de-CH"/>
        </a:p>
      </xdr:txBody>
    </xdr:sp>
    <xdr:clientData/>
  </xdr:twoCellAnchor>
  <xdr:twoCellAnchor>
    <xdr:from>
      <xdr:col>10</xdr:col>
      <xdr:colOff>161925</xdr:colOff>
      <xdr:row>14</xdr:row>
      <xdr:rowOff>19050</xdr:rowOff>
    </xdr:from>
    <xdr:to>
      <xdr:col>10</xdr:col>
      <xdr:colOff>342900</xdr:colOff>
      <xdr:row>15</xdr:row>
      <xdr:rowOff>28575</xdr:rowOff>
    </xdr:to>
    <xdr:sp macro="" textlink="">
      <xdr:nvSpPr>
        <xdr:cNvPr id="16410" name="Text Box 26">
          <a:extLst>
            <a:ext uri="{FF2B5EF4-FFF2-40B4-BE49-F238E27FC236}">
              <a16:creationId xmlns:a16="http://schemas.microsoft.com/office/drawing/2014/main" id="{00000000-0008-0000-0100-00001A400000}"/>
            </a:ext>
          </a:extLst>
        </xdr:cNvPr>
        <xdr:cNvSpPr txBox="1">
          <a:spLocks noChangeArrowheads="1"/>
        </xdr:cNvSpPr>
      </xdr:nvSpPr>
      <xdr:spPr bwMode="auto">
        <a:xfrm>
          <a:off x="6257925" y="251460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8</xdr:col>
      <xdr:colOff>381000</xdr:colOff>
      <xdr:row>10</xdr:row>
      <xdr:rowOff>47625</xdr:rowOff>
    </xdr:from>
    <xdr:to>
      <xdr:col>8</xdr:col>
      <xdr:colOff>381000</xdr:colOff>
      <xdr:row>18</xdr:row>
      <xdr:rowOff>123825</xdr:rowOff>
    </xdr:to>
    <xdr:sp macro="" textlink="">
      <xdr:nvSpPr>
        <xdr:cNvPr id="16411" name="Line 27">
          <a:extLst>
            <a:ext uri="{FF2B5EF4-FFF2-40B4-BE49-F238E27FC236}">
              <a16:creationId xmlns:a16="http://schemas.microsoft.com/office/drawing/2014/main" id="{00000000-0008-0000-0100-00001B400000}"/>
            </a:ext>
          </a:extLst>
        </xdr:cNvPr>
        <xdr:cNvSpPr>
          <a:spLocks noChangeShapeType="1"/>
        </xdr:cNvSpPr>
      </xdr:nvSpPr>
      <xdr:spPr bwMode="auto">
        <a:xfrm>
          <a:off x="5257800" y="1895475"/>
          <a:ext cx="0" cy="13716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10</xdr:row>
      <xdr:rowOff>47625</xdr:rowOff>
    </xdr:from>
    <xdr:to>
      <xdr:col>8</xdr:col>
      <xdr:colOff>561975</xdr:colOff>
      <xdr:row>18</xdr:row>
      <xdr:rowOff>123825</xdr:rowOff>
    </xdr:to>
    <xdr:sp macro="" textlink="">
      <xdr:nvSpPr>
        <xdr:cNvPr id="16412" name="Line 28">
          <a:extLst>
            <a:ext uri="{FF2B5EF4-FFF2-40B4-BE49-F238E27FC236}">
              <a16:creationId xmlns:a16="http://schemas.microsoft.com/office/drawing/2014/main" id="{00000000-0008-0000-0100-00001C400000}"/>
            </a:ext>
          </a:extLst>
        </xdr:cNvPr>
        <xdr:cNvSpPr>
          <a:spLocks noChangeShapeType="1"/>
        </xdr:cNvSpPr>
      </xdr:nvSpPr>
      <xdr:spPr bwMode="auto">
        <a:xfrm>
          <a:off x="5438775" y="1895475"/>
          <a:ext cx="0" cy="13716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</xdr:row>
      <xdr:rowOff>9525</xdr:rowOff>
    </xdr:from>
    <xdr:to>
      <xdr:col>6</xdr:col>
      <xdr:colOff>0</xdr:colOff>
      <xdr:row>18</xdr:row>
      <xdr:rowOff>114300</xdr:rowOff>
    </xdr:to>
    <xdr:sp macro="" textlink="">
      <xdr:nvSpPr>
        <xdr:cNvPr id="16413" name="Rectangle 29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>
          <a:spLocks noChangeArrowheads="1"/>
        </xdr:cNvSpPr>
      </xdr:nvSpPr>
      <xdr:spPr bwMode="auto">
        <a:xfrm>
          <a:off x="609600" y="1857375"/>
          <a:ext cx="3048000" cy="14001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10</xdr:row>
      <xdr:rowOff>0</xdr:rowOff>
    </xdr:from>
    <xdr:to>
      <xdr:col>2</xdr:col>
      <xdr:colOff>514350</xdr:colOff>
      <xdr:row>18</xdr:row>
      <xdr:rowOff>114300</xdr:rowOff>
    </xdr:to>
    <xdr:sp macro="" textlink="">
      <xdr:nvSpPr>
        <xdr:cNvPr id="16414" name="Freeform 30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>
          <a:spLocks/>
        </xdr:cNvSpPr>
      </xdr:nvSpPr>
      <xdr:spPr bwMode="auto">
        <a:xfrm>
          <a:off x="1466850" y="1847850"/>
          <a:ext cx="266700" cy="1409700"/>
        </a:xfrm>
        <a:custGeom>
          <a:avLst/>
          <a:gdLst>
            <a:gd name="T0" fmla="*/ 18 w 28"/>
            <a:gd name="T1" fmla="*/ 0 h 148"/>
            <a:gd name="T2" fmla="*/ 2 w 28"/>
            <a:gd name="T3" fmla="*/ 25 h 148"/>
            <a:gd name="T4" fmla="*/ 5 w 28"/>
            <a:gd name="T5" fmla="*/ 38 h 148"/>
            <a:gd name="T6" fmla="*/ 11 w 28"/>
            <a:gd name="T7" fmla="*/ 42 h 148"/>
            <a:gd name="T8" fmla="*/ 9 w 28"/>
            <a:gd name="T9" fmla="*/ 83 h 148"/>
            <a:gd name="T10" fmla="*/ 17 w 28"/>
            <a:gd name="T11" fmla="*/ 121 h 148"/>
            <a:gd name="T12" fmla="*/ 25 w 28"/>
            <a:gd name="T13" fmla="*/ 141 h 148"/>
            <a:gd name="T14" fmla="*/ 28 w 28"/>
            <a:gd name="T15" fmla="*/ 148 h 1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28" h="148">
              <a:moveTo>
                <a:pt x="18" y="0"/>
              </a:moveTo>
              <a:cubicBezTo>
                <a:pt x="17" y="8"/>
                <a:pt x="8" y="19"/>
                <a:pt x="2" y="25"/>
              </a:cubicBezTo>
              <a:cubicBezTo>
                <a:pt x="0" y="30"/>
                <a:pt x="1" y="35"/>
                <a:pt x="5" y="38"/>
              </a:cubicBezTo>
              <a:cubicBezTo>
                <a:pt x="7" y="39"/>
                <a:pt x="11" y="42"/>
                <a:pt x="11" y="42"/>
              </a:cubicBezTo>
              <a:cubicBezTo>
                <a:pt x="19" y="55"/>
                <a:pt x="12" y="70"/>
                <a:pt x="9" y="83"/>
              </a:cubicBezTo>
              <a:cubicBezTo>
                <a:pt x="8" y="94"/>
                <a:pt x="3" y="116"/>
                <a:pt x="17" y="121"/>
              </a:cubicBezTo>
              <a:cubicBezTo>
                <a:pt x="22" y="126"/>
                <a:pt x="23" y="134"/>
                <a:pt x="25" y="141"/>
              </a:cubicBezTo>
              <a:cubicBezTo>
                <a:pt x="25" y="143"/>
                <a:pt x="26" y="148"/>
                <a:pt x="28" y="14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428625</xdr:colOff>
      <xdr:row>10</xdr:row>
      <xdr:rowOff>9525</xdr:rowOff>
    </xdr:from>
    <xdr:to>
      <xdr:col>3</xdr:col>
      <xdr:colOff>85725</xdr:colOff>
      <xdr:row>18</xdr:row>
      <xdr:rowOff>123825</xdr:rowOff>
    </xdr:to>
    <xdr:sp macro="" textlink="">
      <xdr:nvSpPr>
        <xdr:cNvPr id="16415" name="Freeform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>
          <a:spLocks/>
        </xdr:cNvSpPr>
      </xdr:nvSpPr>
      <xdr:spPr bwMode="auto">
        <a:xfrm>
          <a:off x="1647825" y="1857375"/>
          <a:ext cx="266700" cy="1409700"/>
        </a:xfrm>
        <a:custGeom>
          <a:avLst/>
          <a:gdLst>
            <a:gd name="T0" fmla="*/ 18 w 28"/>
            <a:gd name="T1" fmla="*/ 0 h 148"/>
            <a:gd name="T2" fmla="*/ 2 w 28"/>
            <a:gd name="T3" fmla="*/ 25 h 148"/>
            <a:gd name="T4" fmla="*/ 5 w 28"/>
            <a:gd name="T5" fmla="*/ 38 h 148"/>
            <a:gd name="T6" fmla="*/ 11 w 28"/>
            <a:gd name="T7" fmla="*/ 42 h 148"/>
            <a:gd name="T8" fmla="*/ 9 w 28"/>
            <a:gd name="T9" fmla="*/ 83 h 148"/>
            <a:gd name="T10" fmla="*/ 17 w 28"/>
            <a:gd name="T11" fmla="*/ 121 h 148"/>
            <a:gd name="T12" fmla="*/ 25 w 28"/>
            <a:gd name="T13" fmla="*/ 141 h 148"/>
            <a:gd name="T14" fmla="*/ 28 w 28"/>
            <a:gd name="T15" fmla="*/ 148 h 1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28" h="148">
              <a:moveTo>
                <a:pt x="18" y="0"/>
              </a:moveTo>
              <a:cubicBezTo>
                <a:pt x="17" y="8"/>
                <a:pt x="8" y="19"/>
                <a:pt x="2" y="25"/>
              </a:cubicBezTo>
              <a:cubicBezTo>
                <a:pt x="0" y="30"/>
                <a:pt x="1" y="35"/>
                <a:pt x="5" y="38"/>
              </a:cubicBezTo>
              <a:cubicBezTo>
                <a:pt x="7" y="39"/>
                <a:pt x="11" y="42"/>
                <a:pt x="11" y="42"/>
              </a:cubicBezTo>
              <a:cubicBezTo>
                <a:pt x="19" y="55"/>
                <a:pt x="12" y="70"/>
                <a:pt x="9" y="83"/>
              </a:cubicBezTo>
              <a:cubicBezTo>
                <a:pt x="8" y="94"/>
                <a:pt x="3" y="116"/>
                <a:pt x="17" y="121"/>
              </a:cubicBezTo>
              <a:cubicBezTo>
                <a:pt x="22" y="126"/>
                <a:pt x="23" y="134"/>
                <a:pt x="25" y="141"/>
              </a:cubicBezTo>
              <a:cubicBezTo>
                <a:pt x="25" y="143"/>
                <a:pt x="26" y="148"/>
                <a:pt x="28" y="14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10</xdr:row>
      <xdr:rowOff>9525</xdr:rowOff>
    </xdr:from>
    <xdr:to>
      <xdr:col>5</xdr:col>
      <xdr:colOff>0</xdr:colOff>
      <xdr:row>18</xdr:row>
      <xdr:rowOff>104775</xdr:rowOff>
    </xdr:to>
    <xdr:sp macro="" textlink="">
      <xdr:nvSpPr>
        <xdr:cNvPr id="16416" name="Line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>
          <a:spLocks noChangeShapeType="1"/>
        </xdr:cNvSpPr>
      </xdr:nvSpPr>
      <xdr:spPr bwMode="auto">
        <a:xfrm>
          <a:off x="3048000" y="1857375"/>
          <a:ext cx="0" cy="1390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600075</xdr:colOff>
      <xdr:row>18</xdr:row>
      <xdr:rowOff>123825</xdr:rowOff>
    </xdr:from>
    <xdr:to>
      <xdr:col>4</xdr:col>
      <xdr:colOff>600075</xdr:colOff>
      <xdr:row>22</xdr:row>
      <xdr:rowOff>66675</xdr:rowOff>
    </xdr:to>
    <xdr:sp macro="" textlink="">
      <xdr:nvSpPr>
        <xdr:cNvPr id="16417" name="Line 33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>
          <a:spLocks noChangeShapeType="1"/>
        </xdr:cNvSpPr>
      </xdr:nvSpPr>
      <xdr:spPr bwMode="auto">
        <a:xfrm>
          <a:off x="3038475" y="326707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123825</xdr:rowOff>
    </xdr:from>
    <xdr:to>
      <xdr:col>1</xdr:col>
      <xdr:colOff>0</xdr:colOff>
      <xdr:row>25</xdr:row>
      <xdr:rowOff>28575</xdr:rowOff>
    </xdr:to>
    <xdr:sp macro="" textlink="">
      <xdr:nvSpPr>
        <xdr:cNvPr id="16418" name="Line 34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>
          <a:spLocks noChangeShapeType="1"/>
        </xdr:cNvSpPr>
      </xdr:nvSpPr>
      <xdr:spPr bwMode="auto">
        <a:xfrm>
          <a:off x="609600" y="3267075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123825</xdr:rowOff>
    </xdr:from>
    <xdr:to>
      <xdr:col>6</xdr:col>
      <xdr:colOff>0</xdr:colOff>
      <xdr:row>25</xdr:row>
      <xdr:rowOff>28575</xdr:rowOff>
    </xdr:to>
    <xdr:sp macro="" textlink="">
      <xdr:nvSpPr>
        <xdr:cNvPr id="16419" name="Line 35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>
          <a:spLocks noChangeShapeType="1"/>
        </xdr:cNvSpPr>
      </xdr:nvSpPr>
      <xdr:spPr bwMode="auto">
        <a:xfrm>
          <a:off x="3657600" y="3267075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21</xdr:row>
      <xdr:rowOff>152400</xdr:rowOff>
    </xdr:from>
    <xdr:to>
      <xdr:col>5</xdr:col>
      <xdr:colOff>600075</xdr:colOff>
      <xdr:row>21</xdr:row>
      <xdr:rowOff>152400</xdr:rowOff>
    </xdr:to>
    <xdr:sp macro="" textlink="">
      <xdr:nvSpPr>
        <xdr:cNvPr id="16420" name="Line 36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>
          <a:spLocks noChangeShapeType="1"/>
        </xdr:cNvSpPr>
      </xdr:nvSpPr>
      <xdr:spPr bwMode="auto">
        <a:xfrm>
          <a:off x="3067050" y="37814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23</xdr:row>
      <xdr:rowOff>152400</xdr:rowOff>
    </xdr:from>
    <xdr:to>
      <xdr:col>5</xdr:col>
      <xdr:colOff>590550</xdr:colOff>
      <xdr:row>23</xdr:row>
      <xdr:rowOff>152400</xdr:rowOff>
    </xdr:to>
    <xdr:sp macro="" textlink="">
      <xdr:nvSpPr>
        <xdr:cNvPr id="16421" name="Line 37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>
          <a:spLocks noChangeShapeType="1"/>
        </xdr:cNvSpPr>
      </xdr:nvSpPr>
      <xdr:spPr bwMode="auto">
        <a:xfrm>
          <a:off x="628650" y="4105275"/>
          <a:ext cx="3009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21</xdr:row>
      <xdr:rowOff>152400</xdr:rowOff>
    </xdr:from>
    <xdr:to>
      <xdr:col>4</xdr:col>
      <xdr:colOff>590550</xdr:colOff>
      <xdr:row>21</xdr:row>
      <xdr:rowOff>152400</xdr:rowOff>
    </xdr:to>
    <xdr:sp macro="" textlink="">
      <xdr:nvSpPr>
        <xdr:cNvPr id="16422" name="Line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>
          <a:spLocks noChangeShapeType="1"/>
        </xdr:cNvSpPr>
      </xdr:nvSpPr>
      <xdr:spPr bwMode="auto">
        <a:xfrm>
          <a:off x="619125" y="3781425"/>
          <a:ext cx="2409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20</xdr:row>
      <xdr:rowOff>152400</xdr:rowOff>
    </xdr:from>
    <xdr:to>
      <xdr:col>3</xdr:col>
      <xdr:colOff>304800</xdr:colOff>
      <xdr:row>21</xdr:row>
      <xdr:rowOff>152400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1819275" y="36195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420</a:t>
          </a:r>
          <a:endParaRPr lang="de-CH"/>
        </a:p>
      </xdr:txBody>
    </xdr:sp>
    <xdr:clientData/>
  </xdr:twoCellAnchor>
  <xdr:twoCellAnchor>
    <xdr:from>
      <xdr:col>5</xdr:col>
      <xdr:colOff>180975</xdr:colOff>
      <xdr:row>20</xdr:row>
      <xdr:rowOff>142875</xdr:rowOff>
    </xdr:from>
    <xdr:to>
      <xdr:col>5</xdr:col>
      <xdr:colOff>390525</xdr:colOff>
      <xdr:row>21</xdr:row>
      <xdr:rowOff>152400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3228975" y="360997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  <a:endParaRPr lang="de-CH"/>
        </a:p>
      </xdr:txBody>
    </xdr:sp>
    <xdr:clientData/>
  </xdr:twoCellAnchor>
  <xdr:twoCellAnchor>
    <xdr:from>
      <xdr:col>2</xdr:col>
      <xdr:colOff>600075</xdr:colOff>
      <xdr:row>22</xdr:row>
      <xdr:rowOff>142875</xdr:rowOff>
    </xdr:from>
    <xdr:to>
      <xdr:col>3</xdr:col>
      <xdr:colOff>295275</xdr:colOff>
      <xdr:row>23</xdr:row>
      <xdr:rowOff>152400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1819275" y="3933825"/>
          <a:ext cx="304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445</a:t>
          </a:r>
          <a:endParaRPr lang="de-CH"/>
        </a:p>
      </xdr:txBody>
    </xdr:sp>
    <xdr:clientData/>
  </xdr:twoCellAnchor>
  <xdr:twoCellAnchor>
    <xdr:from>
      <xdr:col>8</xdr:col>
      <xdr:colOff>161925</xdr:colOff>
      <xdr:row>12</xdr:row>
      <xdr:rowOff>142875</xdr:rowOff>
    </xdr:from>
    <xdr:to>
      <xdr:col>8</xdr:col>
      <xdr:colOff>390525</xdr:colOff>
      <xdr:row>12</xdr:row>
      <xdr:rowOff>142875</xdr:rowOff>
    </xdr:to>
    <xdr:sp macro="" textlink="">
      <xdr:nvSpPr>
        <xdr:cNvPr id="16426" name="Line 42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>
          <a:spLocks noChangeShapeType="1"/>
        </xdr:cNvSpPr>
      </xdr:nvSpPr>
      <xdr:spPr bwMode="auto">
        <a:xfrm>
          <a:off x="5038725" y="2314575"/>
          <a:ext cx="2286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12</xdr:row>
      <xdr:rowOff>152400</xdr:rowOff>
    </xdr:from>
    <xdr:to>
      <xdr:col>9</xdr:col>
      <xdr:colOff>123825</xdr:colOff>
      <xdr:row>12</xdr:row>
      <xdr:rowOff>152400</xdr:rowOff>
    </xdr:to>
    <xdr:sp macro="" textlink="">
      <xdr:nvSpPr>
        <xdr:cNvPr id="16427" name="Line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>
          <a:spLocks noChangeShapeType="1"/>
        </xdr:cNvSpPr>
      </xdr:nvSpPr>
      <xdr:spPr bwMode="auto">
        <a:xfrm flipH="1">
          <a:off x="5438775" y="2324100"/>
          <a:ext cx="171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</xdr:row>
      <xdr:rowOff>152400</xdr:rowOff>
    </xdr:from>
    <xdr:to>
      <xdr:col>2</xdr:col>
      <xdr:colOff>342900</xdr:colOff>
      <xdr:row>10</xdr:row>
      <xdr:rowOff>152400</xdr:rowOff>
    </xdr:to>
    <xdr:sp macro="" textlink="">
      <xdr:nvSpPr>
        <xdr:cNvPr id="16428" name="Line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>
          <a:spLocks noChangeShapeType="1"/>
        </xdr:cNvSpPr>
      </xdr:nvSpPr>
      <xdr:spPr bwMode="auto">
        <a:xfrm>
          <a:off x="609600" y="2000250"/>
          <a:ext cx="95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11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16429" name="Line 45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>
          <a:spLocks noChangeShapeType="1"/>
        </xdr:cNvSpPr>
      </xdr:nvSpPr>
      <xdr:spPr bwMode="auto">
        <a:xfrm>
          <a:off x="1743075" y="2009775"/>
          <a:ext cx="1295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38100</xdr:colOff>
      <xdr:row>13</xdr:row>
      <xdr:rowOff>0</xdr:rowOff>
    </xdr:from>
    <xdr:to>
      <xdr:col>2</xdr:col>
      <xdr:colOff>381000</xdr:colOff>
      <xdr:row>13</xdr:row>
      <xdr:rowOff>0</xdr:rowOff>
    </xdr:to>
    <xdr:sp macro="" textlink="">
      <xdr:nvSpPr>
        <xdr:cNvPr id="16430" name="Line 46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>
          <a:spLocks noChangeShapeType="1"/>
        </xdr:cNvSpPr>
      </xdr:nvSpPr>
      <xdr:spPr bwMode="auto">
        <a:xfrm>
          <a:off x="647700" y="2333625"/>
          <a:ext cx="95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13</xdr:row>
      <xdr:rowOff>0</xdr:rowOff>
    </xdr:from>
    <xdr:to>
      <xdr:col>4</xdr:col>
      <xdr:colOff>600075</xdr:colOff>
      <xdr:row>13</xdr:row>
      <xdr:rowOff>0</xdr:rowOff>
    </xdr:to>
    <xdr:sp macro="" textlink="">
      <xdr:nvSpPr>
        <xdr:cNvPr id="16431" name="Line 47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>
          <a:spLocks noChangeShapeType="1"/>
        </xdr:cNvSpPr>
      </xdr:nvSpPr>
      <xdr:spPr bwMode="auto">
        <a:xfrm>
          <a:off x="1809750" y="2333625"/>
          <a:ext cx="12287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533400</xdr:colOff>
      <xdr:row>16</xdr:row>
      <xdr:rowOff>0</xdr:rowOff>
    </xdr:from>
    <xdr:to>
      <xdr:col>4</xdr:col>
      <xdr:colOff>581025</xdr:colOff>
      <xdr:row>16</xdr:row>
      <xdr:rowOff>0</xdr:rowOff>
    </xdr:to>
    <xdr:sp macro="" textlink="">
      <xdr:nvSpPr>
        <xdr:cNvPr id="16432" name="Line 48">
          <a:extLst>
            <a:ext uri="{FF2B5EF4-FFF2-40B4-BE49-F238E27FC236}">
              <a16:creationId xmlns:a16="http://schemas.microsoft.com/office/drawing/2014/main" id="{00000000-0008-0000-0100-000030400000}"/>
            </a:ext>
          </a:extLst>
        </xdr:cNvPr>
        <xdr:cNvSpPr>
          <a:spLocks noChangeShapeType="1"/>
        </xdr:cNvSpPr>
      </xdr:nvSpPr>
      <xdr:spPr bwMode="auto">
        <a:xfrm>
          <a:off x="1752600" y="2819400"/>
          <a:ext cx="12668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</xdr:colOff>
      <xdr:row>17</xdr:row>
      <xdr:rowOff>152400</xdr:rowOff>
    </xdr:from>
    <xdr:to>
      <xdr:col>4</xdr:col>
      <xdr:colOff>590550</xdr:colOff>
      <xdr:row>18</xdr:row>
      <xdr:rowOff>0</xdr:rowOff>
    </xdr:to>
    <xdr:sp macro="" textlink="">
      <xdr:nvSpPr>
        <xdr:cNvPr id="16433" name="Line 49">
          <a:extLst>
            <a:ext uri="{FF2B5EF4-FFF2-40B4-BE49-F238E27FC236}">
              <a16:creationId xmlns:a16="http://schemas.microsoft.com/office/drawing/2014/main" id="{00000000-0008-0000-0100-000031400000}"/>
            </a:ext>
          </a:extLst>
        </xdr:cNvPr>
        <xdr:cNvSpPr>
          <a:spLocks noChangeShapeType="1"/>
        </xdr:cNvSpPr>
      </xdr:nvSpPr>
      <xdr:spPr bwMode="auto">
        <a:xfrm flipV="1">
          <a:off x="1885950" y="3133725"/>
          <a:ext cx="11430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16</xdr:row>
      <xdr:rowOff>0</xdr:rowOff>
    </xdr:from>
    <xdr:to>
      <xdr:col>2</xdr:col>
      <xdr:colOff>304800</xdr:colOff>
      <xdr:row>16</xdr:row>
      <xdr:rowOff>0</xdr:rowOff>
    </xdr:to>
    <xdr:sp macro="" textlink="">
      <xdr:nvSpPr>
        <xdr:cNvPr id="16434" name="Line 50">
          <a:extLst>
            <a:ext uri="{FF2B5EF4-FFF2-40B4-BE49-F238E27FC236}">
              <a16:creationId xmlns:a16="http://schemas.microsoft.com/office/drawing/2014/main" id="{00000000-0008-0000-0100-000032400000}"/>
            </a:ext>
          </a:extLst>
        </xdr:cNvPr>
        <xdr:cNvSpPr>
          <a:spLocks noChangeShapeType="1"/>
        </xdr:cNvSpPr>
      </xdr:nvSpPr>
      <xdr:spPr bwMode="auto">
        <a:xfrm>
          <a:off x="619125" y="2819400"/>
          <a:ext cx="904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2</xdr:col>
      <xdr:colOff>457200</xdr:colOff>
      <xdr:row>18</xdr:row>
      <xdr:rowOff>0</xdr:rowOff>
    </xdr:to>
    <xdr:sp macro="" textlink="">
      <xdr:nvSpPr>
        <xdr:cNvPr id="16435" name="Line 51">
          <a:extLst>
            <a:ext uri="{FF2B5EF4-FFF2-40B4-BE49-F238E27FC236}">
              <a16:creationId xmlns:a16="http://schemas.microsoft.com/office/drawing/2014/main" id="{00000000-0008-0000-0100-000033400000}"/>
            </a:ext>
          </a:extLst>
        </xdr:cNvPr>
        <xdr:cNvSpPr>
          <a:spLocks noChangeShapeType="1"/>
        </xdr:cNvSpPr>
      </xdr:nvSpPr>
      <xdr:spPr bwMode="auto">
        <a:xfrm>
          <a:off x="628650" y="3143250"/>
          <a:ext cx="1047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190500</xdr:colOff>
      <xdr:row>13</xdr:row>
      <xdr:rowOff>95250</xdr:rowOff>
    </xdr:from>
    <xdr:to>
      <xdr:col>5</xdr:col>
      <xdr:colOff>409575</xdr:colOff>
      <xdr:row>15</xdr:row>
      <xdr:rowOff>9525</xdr:rowOff>
    </xdr:to>
    <xdr:sp macro="" textlink="">
      <xdr:nvSpPr>
        <xdr:cNvPr id="16436" name="Oval 52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>
          <a:spLocks noChangeArrowheads="1"/>
        </xdr:cNvSpPr>
      </xdr:nvSpPr>
      <xdr:spPr bwMode="auto">
        <a:xfrm>
          <a:off x="3238500" y="2428875"/>
          <a:ext cx="219075" cy="2381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31</xdr:row>
      <xdr:rowOff>152400</xdr:rowOff>
    </xdr:from>
    <xdr:to>
      <xdr:col>9</xdr:col>
      <xdr:colOff>9525</xdr:colOff>
      <xdr:row>38</xdr:row>
      <xdr:rowOff>0</xdr:rowOff>
    </xdr:to>
    <xdr:sp macro="" textlink="">
      <xdr:nvSpPr>
        <xdr:cNvPr id="16437" name="Rectangle 53">
          <a:extLst>
            <a:ext uri="{FF2B5EF4-FFF2-40B4-BE49-F238E27FC236}">
              <a16:creationId xmlns:a16="http://schemas.microsoft.com/office/drawing/2014/main" id="{00000000-0008-0000-0100-000035400000}"/>
            </a:ext>
          </a:extLst>
        </xdr:cNvPr>
        <xdr:cNvSpPr>
          <a:spLocks noChangeArrowheads="1"/>
        </xdr:cNvSpPr>
      </xdr:nvSpPr>
      <xdr:spPr bwMode="auto">
        <a:xfrm>
          <a:off x="609600" y="5400675"/>
          <a:ext cx="4886325" cy="9810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32</xdr:row>
      <xdr:rowOff>47625</xdr:rowOff>
    </xdr:from>
    <xdr:to>
      <xdr:col>9</xdr:col>
      <xdr:colOff>9525</xdr:colOff>
      <xdr:row>37</xdr:row>
      <xdr:rowOff>104775</xdr:rowOff>
    </xdr:to>
    <xdr:sp macro="" textlink="">
      <xdr:nvSpPr>
        <xdr:cNvPr id="16438" name="Rectangle 54">
          <a:extLst>
            <a:ext uri="{FF2B5EF4-FFF2-40B4-BE49-F238E27FC236}">
              <a16:creationId xmlns:a16="http://schemas.microsoft.com/office/drawing/2014/main" id="{00000000-0008-0000-0100-000036400000}"/>
            </a:ext>
          </a:extLst>
        </xdr:cNvPr>
        <xdr:cNvSpPr>
          <a:spLocks noChangeArrowheads="1"/>
        </xdr:cNvSpPr>
      </xdr:nvSpPr>
      <xdr:spPr bwMode="auto">
        <a:xfrm>
          <a:off x="609600" y="5457825"/>
          <a:ext cx="4886325" cy="8667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571500</xdr:colOff>
      <xdr:row>32</xdr:row>
      <xdr:rowOff>47625</xdr:rowOff>
    </xdr:from>
    <xdr:to>
      <xdr:col>9</xdr:col>
      <xdr:colOff>66675</xdr:colOff>
      <xdr:row>37</xdr:row>
      <xdr:rowOff>104775</xdr:rowOff>
    </xdr:to>
    <xdr:sp macro="" textlink="">
      <xdr:nvSpPr>
        <xdr:cNvPr id="16439" name="AutoShape 55">
          <a:extLst>
            <a:ext uri="{FF2B5EF4-FFF2-40B4-BE49-F238E27FC236}">
              <a16:creationId xmlns:a16="http://schemas.microsoft.com/office/drawing/2014/main" id="{00000000-0008-0000-0100-000037400000}"/>
            </a:ext>
          </a:extLst>
        </xdr:cNvPr>
        <xdr:cNvSpPr>
          <a:spLocks noChangeArrowheads="1"/>
        </xdr:cNvSpPr>
      </xdr:nvSpPr>
      <xdr:spPr bwMode="auto">
        <a:xfrm rot="5400000">
          <a:off x="4762500" y="5534025"/>
          <a:ext cx="866775" cy="714375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32</xdr:row>
      <xdr:rowOff>47625</xdr:rowOff>
    </xdr:from>
    <xdr:to>
      <xdr:col>2</xdr:col>
      <xdr:colOff>38100</xdr:colOff>
      <xdr:row>37</xdr:row>
      <xdr:rowOff>104775</xdr:rowOff>
    </xdr:to>
    <xdr:sp macro="" textlink="">
      <xdr:nvSpPr>
        <xdr:cNvPr id="16440" name="AutoShape 56">
          <a:extLst>
            <a:ext uri="{FF2B5EF4-FFF2-40B4-BE49-F238E27FC236}">
              <a16:creationId xmlns:a16="http://schemas.microsoft.com/office/drawing/2014/main" id="{00000000-0008-0000-0100-000038400000}"/>
            </a:ext>
          </a:extLst>
        </xdr:cNvPr>
        <xdr:cNvSpPr>
          <a:spLocks noChangeArrowheads="1"/>
        </xdr:cNvSpPr>
      </xdr:nvSpPr>
      <xdr:spPr bwMode="auto">
        <a:xfrm rot="16200000">
          <a:off x="466725" y="5534025"/>
          <a:ext cx="866775" cy="714375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32</xdr:row>
      <xdr:rowOff>95250</xdr:rowOff>
    </xdr:from>
    <xdr:to>
      <xdr:col>7</xdr:col>
      <xdr:colOff>247650</xdr:colOff>
      <xdr:row>37</xdr:row>
      <xdr:rowOff>57150</xdr:rowOff>
    </xdr:to>
    <xdr:sp macro="" textlink="">
      <xdr:nvSpPr>
        <xdr:cNvPr id="16441" name="Rectangle 57" descr="Light upward diagonal">
          <a:extLst>
            <a:ext uri="{FF2B5EF4-FFF2-40B4-BE49-F238E27FC236}">
              <a16:creationId xmlns:a16="http://schemas.microsoft.com/office/drawing/2014/main" id="{00000000-0008-0000-0100-000039400000}"/>
            </a:ext>
          </a:extLst>
        </xdr:cNvPr>
        <xdr:cNvSpPr>
          <a:spLocks noChangeArrowheads="1"/>
        </xdr:cNvSpPr>
      </xdr:nvSpPr>
      <xdr:spPr bwMode="auto">
        <a:xfrm>
          <a:off x="1266825" y="5505450"/>
          <a:ext cx="3248025" cy="771525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590550</xdr:colOff>
      <xdr:row>35</xdr:row>
      <xdr:rowOff>0</xdr:rowOff>
    </xdr:from>
    <xdr:to>
      <xdr:col>2</xdr:col>
      <xdr:colOff>38100</xdr:colOff>
      <xdr:row>35</xdr:row>
      <xdr:rowOff>0</xdr:rowOff>
    </xdr:to>
    <xdr:sp macro="" textlink="">
      <xdr:nvSpPr>
        <xdr:cNvPr id="16442" name="Line 58">
          <a:extLst>
            <a:ext uri="{FF2B5EF4-FFF2-40B4-BE49-F238E27FC236}">
              <a16:creationId xmlns:a16="http://schemas.microsoft.com/office/drawing/2014/main" id="{00000000-0008-0000-0100-00003A400000}"/>
            </a:ext>
          </a:extLst>
        </xdr:cNvPr>
        <xdr:cNvSpPr>
          <a:spLocks noChangeShapeType="1"/>
        </xdr:cNvSpPr>
      </xdr:nvSpPr>
      <xdr:spPr bwMode="auto">
        <a:xfrm>
          <a:off x="590550" y="58959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35</xdr:row>
      <xdr:rowOff>0</xdr:rowOff>
    </xdr:from>
    <xdr:to>
      <xdr:col>9</xdr:col>
      <xdr:colOff>85725</xdr:colOff>
      <xdr:row>35</xdr:row>
      <xdr:rowOff>0</xdr:rowOff>
    </xdr:to>
    <xdr:sp macro="" textlink="">
      <xdr:nvSpPr>
        <xdr:cNvPr id="16443" name="Line 59">
          <a:extLst>
            <a:ext uri="{FF2B5EF4-FFF2-40B4-BE49-F238E27FC236}">
              <a16:creationId xmlns:a16="http://schemas.microsoft.com/office/drawing/2014/main" id="{00000000-0008-0000-0100-00003B400000}"/>
            </a:ext>
          </a:extLst>
        </xdr:cNvPr>
        <xdr:cNvSpPr>
          <a:spLocks noChangeShapeType="1"/>
        </xdr:cNvSpPr>
      </xdr:nvSpPr>
      <xdr:spPr bwMode="auto">
        <a:xfrm>
          <a:off x="4857750" y="589597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34</xdr:row>
      <xdr:rowOff>104775</xdr:rowOff>
    </xdr:from>
    <xdr:to>
      <xdr:col>7</xdr:col>
      <xdr:colOff>571500</xdr:colOff>
      <xdr:row>35</xdr:row>
      <xdr:rowOff>19050</xdr:rowOff>
    </xdr:to>
    <xdr:sp macro="" textlink="">
      <xdr:nvSpPr>
        <xdr:cNvPr id="16444" name="Rectangle 60" descr="Light upward diagonal">
          <a:extLst>
            <a:ext uri="{FF2B5EF4-FFF2-40B4-BE49-F238E27FC236}">
              <a16:creationId xmlns:a16="http://schemas.microsoft.com/office/drawing/2014/main" id="{00000000-0008-0000-0100-00003C400000}"/>
            </a:ext>
          </a:extLst>
        </xdr:cNvPr>
        <xdr:cNvSpPr>
          <a:spLocks noChangeArrowheads="1"/>
        </xdr:cNvSpPr>
      </xdr:nvSpPr>
      <xdr:spPr bwMode="auto">
        <a:xfrm>
          <a:off x="4514850" y="5838825"/>
          <a:ext cx="323850" cy="762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38</xdr:row>
      <xdr:rowOff>142875</xdr:rowOff>
    </xdr:from>
    <xdr:to>
      <xdr:col>5</xdr:col>
      <xdr:colOff>285750</xdr:colOff>
      <xdr:row>39</xdr:row>
      <xdr:rowOff>152400</xdr:rowOff>
    </xdr:to>
    <xdr:sp macro="" textlink="">
      <xdr:nvSpPr>
        <xdr:cNvPr id="16445" name="Text Box 61">
          <a:extLst>
            <a:ext uri="{FF2B5EF4-FFF2-40B4-BE49-F238E27FC236}">
              <a16:creationId xmlns:a16="http://schemas.microsoft.com/office/drawing/2014/main" id="{00000000-0008-0000-0100-00003D400000}"/>
            </a:ext>
          </a:extLst>
        </xdr:cNvPr>
        <xdr:cNvSpPr txBox="1">
          <a:spLocks noChangeArrowheads="1"/>
        </xdr:cNvSpPr>
      </xdr:nvSpPr>
      <xdr:spPr bwMode="auto">
        <a:xfrm>
          <a:off x="3028950" y="6524625"/>
          <a:ext cx="304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445</a:t>
          </a:r>
          <a:endParaRPr lang="de-CH"/>
        </a:p>
      </xdr:txBody>
    </xdr:sp>
    <xdr:clientData/>
  </xdr:twoCellAnchor>
  <xdr:twoCellAnchor>
    <xdr:from>
      <xdr:col>2</xdr:col>
      <xdr:colOff>85725</xdr:colOff>
      <xdr:row>39</xdr:row>
      <xdr:rowOff>152400</xdr:rowOff>
    </xdr:from>
    <xdr:to>
      <xdr:col>7</xdr:col>
      <xdr:colOff>552450</xdr:colOff>
      <xdr:row>39</xdr:row>
      <xdr:rowOff>152400</xdr:rowOff>
    </xdr:to>
    <xdr:sp macro="" textlink="">
      <xdr:nvSpPr>
        <xdr:cNvPr id="16446" name="Line 62">
          <a:extLst>
            <a:ext uri="{FF2B5EF4-FFF2-40B4-BE49-F238E27FC236}">
              <a16:creationId xmlns:a16="http://schemas.microsoft.com/office/drawing/2014/main" id="{00000000-0008-0000-0100-00003E400000}"/>
            </a:ext>
          </a:extLst>
        </xdr:cNvPr>
        <xdr:cNvSpPr>
          <a:spLocks noChangeShapeType="1"/>
        </xdr:cNvSpPr>
      </xdr:nvSpPr>
      <xdr:spPr bwMode="auto">
        <a:xfrm flipV="1">
          <a:off x="1304925" y="6696075"/>
          <a:ext cx="3514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9525</xdr:rowOff>
    </xdr:from>
    <xdr:to>
      <xdr:col>7</xdr:col>
      <xdr:colOff>238125</xdr:colOff>
      <xdr:row>34</xdr:row>
      <xdr:rowOff>9525</xdr:rowOff>
    </xdr:to>
    <xdr:sp macro="" textlink="">
      <xdr:nvSpPr>
        <xdr:cNvPr id="16447" name="Line 63">
          <a:extLst>
            <a:ext uri="{FF2B5EF4-FFF2-40B4-BE49-F238E27FC236}">
              <a16:creationId xmlns:a16="http://schemas.microsoft.com/office/drawing/2014/main" id="{00000000-0008-0000-0100-00003F400000}"/>
            </a:ext>
          </a:extLst>
        </xdr:cNvPr>
        <xdr:cNvSpPr>
          <a:spLocks noChangeShapeType="1"/>
        </xdr:cNvSpPr>
      </xdr:nvSpPr>
      <xdr:spPr bwMode="auto">
        <a:xfrm>
          <a:off x="1304925" y="5743575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36</xdr:row>
      <xdr:rowOff>9525</xdr:rowOff>
    </xdr:from>
    <xdr:to>
      <xdr:col>2</xdr:col>
      <xdr:colOff>47625</xdr:colOff>
      <xdr:row>42</xdr:row>
      <xdr:rowOff>76200</xdr:rowOff>
    </xdr:to>
    <xdr:sp macro="" textlink="">
      <xdr:nvSpPr>
        <xdr:cNvPr id="16448" name="Line 64">
          <a:extLst>
            <a:ext uri="{FF2B5EF4-FFF2-40B4-BE49-F238E27FC236}">
              <a16:creationId xmlns:a16="http://schemas.microsoft.com/office/drawing/2014/main" id="{00000000-0008-0000-0100-000040400000}"/>
            </a:ext>
          </a:extLst>
        </xdr:cNvPr>
        <xdr:cNvSpPr>
          <a:spLocks noChangeShapeType="1"/>
        </xdr:cNvSpPr>
      </xdr:nvSpPr>
      <xdr:spPr bwMode="auto">
        <a:xfrm>
          <a:off x="1266825" y="6067425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36</xdr:row>
      <xdr:rowOff>28575</xdr:rowOff>
    </xdr:from>
    <xdr:to>
      <xdr:col>7</xdr:col>
      <xdr:colOff>581025</xdr:colOff>
      <xdr:row>42</xdr:row>
      <xdr:rowOff>95250</xdr:rowOff>
    </xdr:to>
    <xdr:sp macro="" textlink="">
      <xdr:nvSpPr>
        <xdr:cNvPr id="16449" name="Line 65">
          <a:extLst>
            <a:ext uri="{FF2B5EF4-FFF2-40B4-BE49-F238E27FC236}">
              <a16:creationId xmlns:a16="http://schemas.microsoft.com/office/drawing/2014/main" id="{00000000-0008-0000-0100-000041400000}"/>
            </a:ext>
          </a:extLst>
        </xdr:cNvPr>
        <xdr:cNvSpPr>
          <a:spLocks noChangeShapeType="1"/>
        </xdr:cNvSpPr>
      </xdr:nvSpPr>
      <xdr:spPr bwMode="auto">
        <a:xfrm>
          <a:off x="4848225" y="6086475"/>
          <a:ext cx="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31</xdr:row>
      <xdr:rowOff>47625</xdr:rowOff>
    </xdr:from>
    <xdr:to>
      <xdr:col>2</xdr:col>
      <xdr:colOff>352425</xdr:colOff>
      <xdr:row>31</xdr:row>
      <xdr:rowOff>123825</xdr:rowOff>
    </xdr:to>
    <xdr:sp macro="" textlink="">
      <xdr:nvSpPr>
        <xdr:cNvPr id="16450" name="Rectangle 66">
          <a:extLst>
            <a:ext uri="{FF2B5EF4-FFF2-40B4-BE49-F238E27FC236}">
              <a16:creationId xmlns:a16="http://schemas.microsoft.com/office/drawing/2014/main" id="{00000000-0008-0000-0100-000042400000}"/>
            </a:ext>
          </a:extLst>
        </xdr:cNvPr>
        <xdr:cNvSpPr>
          <a:spLocks noChangeArrowheads="1"/>
        </xdr:cNvSpPr>
      </xdr:nvSpPr>
      <xdr:spPr bwMode="auto">
        <a:xfrm>
          <a:off x="1438275" y="5295900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552450</xdr:colOff>
      <xdr:row>31</xdr:row>
      <xdr:rowOff>47625</xdr:rowOff>
    </xdr:from>
    <xdr:to>
      <xdr:col>3</xdr:col>
      <xdr:colOff>76200</xdr:colOff>
      <xdr:row>31</xdr:row>
      <xdr:rowOff>123825</xdr:rowOff>
    </xdr:to>
    <xdr:sp macro="" textlink="">
      <xdr:nvSpPr>
        <xdr:cNvPr id="16451" name="Rectangle 67">
          <a:extLst>
            <a:ext uri="{FF2B5EF4-FFF2-40B4-BE49-F238E27FC236}">
              <a16:creationId xmlns:a16="http://schemas.microsoft.com/office/drawing/2014/main" id="{00000000-0008-0000-0100-000043400000}"/>
            </a:ext>
          </a:extLst>
        </xdr:cNvPr>
        <xdr:cNvSpPr>
          <a:spLocks noChangeArrowheads="1"/>
        </xdr:cNvSpPr>
      </xdr:nvSpPr>
      <xdr:spPr bwMode="auto">
        <a:xfrm>
          <a:off x="1771650" y="5295900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390525</xdr:colOff>
      <xdr:row>31</xdr:row>
      <xdr:rowOff>47625</xdr:rowOff>
    </xdr:from>
    <xdr:to>
      <xdr:col>2</xdr:col>
      <xdr:colOff>523875</xdr:colOff>
      <xdr:row>31</xdr:row>
      <xdr:rowOff>123825</xdr:rowOff>
    </xdr:to>
    <xdr:sp macro="" textlink="">
      <xdr:nvSpPr>
        <xdr:cNvPr id="16452" name="Rectangle 68">
          <a:extLst>
            <a:ext uri="{FF2B5EF4-FFF2-40B4-BE49-F238E27FC236}">
              <a16:creationId xmlns:a16="http://schemas.microsoft.com/office/drawing/2014/main" id="{00000000-0008-0000-0100-000044400000}"/>
            </a:ext>
          </a:extLst>
        </xdr:cNvPr>
        <xdr:cNvSpPr>
          <a:spLocks noChangeArrowheads="1"/>
        </xdr:cNvSpPr>
      </xdr:nvSpPr>
      <xdr:spPr bwMode="auto">
        <a:xfrm>
          <a:off x="1609725" y="5295900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514350</xdr:colOff>
      <xdr:row>38</xdr:row>
      <xdr:rowOff>47625</xdr:rowOff>
    </xdr:from>
    <xdr:to>
      <xdr:col>3</xdr:col>
      <xdr:colOff>38100</xdr:colOff>
      <xdr:row>38</xdr:row>
      <xdr:rowOff>123825</xdr:rowOff>
    </xdr:to>
    <xdr:sp macro="" textlink="">
      <xdr:nvSpPr>
        <xdr:cNvPr id="16453" name="Rectangle 69">
          <a:extLst>
            <a:ext uri="{FF2B5EF4-FFF2-40B4-BE49-F238E27FC236}">
              <a16:creationId xmlns:a16="http://schemas.microsoft.com/office/drawing/2014/main" id="{00000000-0008-0000-0100-000045400000}"/>
            </a:ext>
          </a:extLst>
        </xdr:cNvPr>
        <xdr:cNvSpPr>
          <a:spLocks noChangeArrowheads="1"/>
        </xdr:cNvSpPr>
      </xdr:nvSpPr>
      <xdr:spPr bwMode="auto">
        <a:xfrm>
          <a:off x="1733550" y="642937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542925</xdr:colOff>
      <xdr:row>31</xdr:row>
      <xdr:rowOff>38100</xdr:rowOff>
    </xdr:from>
    <xdr:to>
      <xdr:col>7</xdr:col>
      <xdr:colOff>66675</xdr:colOff>
      <xdr:row>31</xdr:row>
      <xdr:rowOff>114300</xdr:rowOff>
    </xdr:to>
    <xdr:sp macro="" textlink="">
      <xdr:nvSpPr>
        <xdr:cNvPr id="16454" name="Rectangle 70">
          <a:extLst>
            <a:ext uri="{FF2B5EF4-FFF2-40B4-BE49-F238E27FC236}">
              <a16:creationId xmlns:a16="http://schemas.microsoft.com/office/drawing/2014/main" id="{00000000-0008-0000-0100-000046400000}"/>
            </a:ext>
          </a:extLst>
        </xdr:cNvPr>
        <xdr:cNvSpPr>
          <a:spLocks noChangeArrowheads="1"/>
        </xdr:cNvSpPr>
      </xdr:nvSpPr>
      <xdr:spPr bwMode="auto">
        <a:xfrm>
          <a:off x="4200525" y="528637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371475</xdr:colOff>
      <xdr:row>31</xdr:row>
      <xdr:rowOff>38100</xdr:rowOff>
    </xdr:from>
    <xdr:to>
      <xdr:col>6</xdr:col>
      <xdr:colOff>504825</xdr:colOff>
      <xdr:row>31</xdr:row>
      <xdr:rowOff>114300</xdr:rowOff>
    </xdr:to>
    <xdr:sp macro="" textlink="">
      <xdr:nvSpPr>
        <xdr:cNvPr id="16455" name="Rectangle 71">
          <a:extLst>
            <a:ext uri="{FF2B5EF4-FFF2-40B4-BE49-F238E27FC236}">
              <a16:creationId xmlns:a16="http://schemas.microsoft.com/office/drawing/2014/main" id="{00000000-0008-0000-0100-000047400000}"/>
            </a:ext>
          </a:extLst>
        </xdr:cNvPr>
        <xdr:cNvSpPr>
          <a:spLocks noChangeArrowheads="1"/>
        </xdr:cNvSpPr>
      </xdr:nvSpPr>
      <xdr:spPr bwMode="auto">
        <a:xfrm>
          <a:off x="4029075" y="528637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31</xdr:row>
      <xdr:rowOff>38100</xdr:rowOff>
    </xdr:from>
    <xdr:to>
      <xdr:col>6</xdr:col>
      <xdr:colOff>333375</xdr:colOff>
      <xdr:row>31</xdr:row>
      <xdr:rowOff>114300</xdr:rowOff>
    </xdr:to>
    <xdr:sp macro="" textlink="">
      <xdr:nvSpPr>
        <xdr:cNvPr id="16456" name="Rectangle 72">
          <a:extLst>
            <a:ext uri="{FF2B5EF4-FFF2-40B4-BE49-F238E27FC236}">
              <a16:creationId xmlns:a16="http://schemas.microsoft.com/office/drawing/2014/main" id="{00000000-0008-0000-0100-000048400000}"/>
            </a:ext>
          </a:extLst>
        </xdr:cNvPr>
        <xdr:cNvSpPr>
          <a:spLocks noChangeArrowheads="1"/>
        </xdr:cNvSpPr>
      </xdr:nvSpPr>
      <xdr:spPr bwMode="auto">
        <a:xfrm>
          <a:off x="3857625" y="528637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31</xdr:row>
      <xdr:rowOff>38100</xdr:rowOff>
    </xdr:from>
    <xdr:to>
      <xdr:col>6</xdr:col>
      <xdr:colOff>152400</xdr:colOff>
      <xdr:row>31</xdr:row>
      <xdr:rowOff>114300</xdr:rowOff>
    </xdr:to>
    <xdr:sp macro="" textlink="">
      <xdr:nvSpPr>
        <xdr:cNvPr id="16457" name="Rectangle 73">
          <a:extLst>
            <a:ext uri="{FF2B5EF4-FFF2-40B4-BE49-F238E27FC236}">
              <a16:creationId xmlns:a16="http://schemas.microsoft.com/office/drawing/2014/main" id="{00000000-0008-0000-0100-000049400000}"/>
            </a:ext>
          </a:extLst>
        </xdr:cNvPr>
        <xdr:cNvSpPr>
          <a:spLocks noChangeArrowheads="1"/>
        </xdr:cNvSpPr>
      </xdr:nvSpPr>
      <xdr:spPr bwMode="auto">
        <a:xfrm>
          <a:off x="3676650" y="528637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161925</xdr:colOff>
      <xdr:row>38</xdr:row>
      <xdr:rowOff>38100</xdr:rowOff>
    </xdr:from>
    <xdr:to>
      <xdr:col>2</xdr:col>
      <xdr:colOff>295275</xdr:colOff>
      <xdr:row>38</xdr:row>
      <xdr:rowOff>114300</xdr:rowOff>
    </xdr:to>
    <xdr:sp macro="" textlink="">
      <xdr:nvSpPr>
        <xdr:cNvPr id="16458" name="Rectangle 74">
          <a:extLst>
            <a:ext uri="{FF2B5EF4-FFF2-40B4-BE49-F238E27FC236}">
              <a16:creationId xmlns:a16="http://schemas.microsoft.com/office/drawing/2014/main" id="{00000000-0008-0000-0100-00004A400000}"/>
            </a:ext>
          </a:extLst>
        </xdr:cNvPr>
        <xdr:cNvSpPr>
          <a:spLocks noChangeArrowheads="1"/>
        </xdr:cNvSpPr>
      </xdr:nvSpPr>
      <xdr:spPr bwMode="auto">
        <a:xfrm>
          <a:off x="1381125" y="6419850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342900</xdr:colOff>
      <xdr:row>38</xdr:row>
      <xdr:rowOff>38100</xdr:rowOff>
    </xdr:from>
    <xdr:to>
      <xdr:col>2</xdr:col>
      <xdr:colOff>476250</xdr:colOff>
      <xdr:row>38</xdr:row>
      <xdr:rowOff>114300</xdr:rowOff>
    </xdr:to>
    <xdr:sp macro="" textlink="">
      <xdr:nvSpPr>
        <xdr:cNvPr id="16459" name="Rectangle 75">
          <a:extLst>
            <a:ext uri="{FF2B5EF4-FFF2-40B4-BE49-F238E27FC236}">
              <a16:creationId xmlns:a16="http://schemas.microsoft.com/office/drawing/2014/main" id="{00000000-0008-0000-0100-00004B400000}"/>
            </a:ext>
          </a:extLst>
        </xdr:cNvPr>
        <xdr:cNvSpPr>
          <a:spLocks noChangeArrowheads="1"/>
        </xdr:cNvSpPr>
      </xdr:nvSpPr>
      <xdr:spPr bwMode="auto">
        <a:xfrm>
          <a:off x="1562100" y="6419850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38</xdr:row>
      <xdr:rowOff>47625</xdr:rowOff>
    </xdr:from>
    <xdr:to>
      <xdr:col>3</xdr:col>
      <xdr:colOff>200025</xdr:colOff>
      <xdr:row>38</xdr:row>
      <xdr:rowOff>123825</xdr:rowOff>
    </xdr:to>
    <xdr:sp macro="" textlink="">
      <xdr:nvSpPr>
        <xdr:cNvPr id="16460" name="Rectangle 76">
          <a:extLst>
            <a:ext uri="{FF2B5EF4-FFF2-40B4-BE49-F238E27FC236}">
              <a16:creationId xmlns:a16="http://schemas.microsoft.com/office/drawing/2014/main" id="{00000000-0008-0000-0100-00004C400000}"/>
            </a:ext>
          </a:extLst>
        </xdr:cNvPr>
        <xdr:cNvSpPr>
          <a:spLocks noChangeArrowheads="1"/>
        </xdr:cNvSpPr>
      </xdr:nvSpPr>
      <xdr:spPr bwMode="auto">
        <a:xfrm>
          <a:off x="1895475" y="642937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31</xdr:row>
      <xdr:rowOff>47625</xdr:rowOff>
    </xdr:from>
    <xdr:to>
      <xdr:col>3</xdr:col>
      <xdr:colOff>238125</xdr:colOff>
      <xdr:row>31</xdr:row>
      <xdr:rowOff>123825</xdr:rowOff>
    </xdr:to>
    <xdr:sp macro="" textlink="">
      <xdr:nvSpPr>
        <xdr:cNvPr id="16461" name="Rectangle 77">
          <a:extLst>
            <a:ext uri="{FF2B5EF4-FFF2-40B4-BE49-F238E27FC236}">
              <a16:creationId xmlns:a16="http://schemas.microsoft.com/office/drawing/2014/main" id="{00000000-0008-0000-0100-00004D400000}"/>
            </a:ext>
          </a:extLst>
        </xdr:cNvPr>
        <xdr:cNvSpPr>
          <a:spLocks noChangeArrowheads="1"/>
        </xdr:cNvSpPr>
      </xdr:nvSpPr>
      <xdr:spPr bwMode="auto">
        <a:xfrm>
          <a:off x="1933575" y="5295900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38</xdr:row>
      <xdr:rowOff>28575</xdr:rowOff>
    </xdr:from>
    <xdr:to>
      <xdr:col>7</xdr:col>
      <xdr:colOff>47625</xdr:colOff>
      <xdr:row>38</xdr:row>
      <xdr:rowOff>104775</xdr:rowOff>
    </xdr:to>
    <xdr:sp macro="" textlink="">
      <xdr:nvSpPr>
        <xdr:cNvPr id="16462" name="Rectangle 78">
          <a:extLst>
            <a:ext uri="{FF2B5EF4-FFF2-40B4-BE49-F238E27FC236}">
              <a16:creationId xmlns:a16="http://schemas.microsoft.com/office/drawing/2014/main" id="{00000000-0008-0000-0100-00004E400000}"/>
            </a:ext>
          </a:extLst>
        </xdr:cNvPr>
        <xdr:cNvSpPr>
          <a:spLocks noChangeArrowheads="1"/>
        </xdr:cNvSpPr>
      </xdr:nvSpPr>
      <xdr:spPr bwMode="auto">
        <a:xfrm>
          <a:off x="4181475" y="641032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38</xdr:row>
      <xdr:rowOff>28575</xdr:rowOff>
    </xdr:from>
    <xdr:to>
      <xdr:col>6</xdr:col>
      <xdr:colOff>485775</xdr:colOff>
      <xdr:row>38</xdr:row>
      <xdr:rowOff>104775</xdr:rowOff>
    </xdr:to>
    <xdr:sp macro="" textlink="">
      <xdr:nvSpPr>
        <xdr:cNvPr id="16463" name="Rectangle 79">
          <a:extLst>
            <a:ext uri="{FF2B5EF4-FFF2-40B4-BE49-F238E27FC236}">
              <a16:creationId xmlns:a16="http://schemas.microsoft.com/office/drawing/2014/main" id="{00000000-0008-0000-0100-00004F400000}"/>
            </a:ext>
          </a:extLst>
        </xdr:cNvPr>
        <xdr:cNvSpPr>
          <a:spLocks noChangeArrowheads="1"/>
        </xdr:cNvSpPr>
      </xdr:nvSpPr>
      <xdr:spPr bwMode="auto">
        <a:xfrm>
          <a:off x="4010025" y="641032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190500</xdr:colOff>
      <xdr:row>38</xdr:row>
      <xdr:rowOff>28575</xdr:rowOff>
    </xdr:from>
    <xdr:to>
      <xdr:col>6</xdr:col>
      <xdr:colOff>323850</xdr:colOff>
      <xdr:row>38</xdr:row>
      <xdr:rowOff>104775</xdr:rowOff>
    </xdr:to>
    <xdr:sp macro="" textlink="">
      <xdr:nvSpPr>
        <xdr:cNvPr id="16464" name="Rectangle 80">
          <a:extLst>
            <a:ext uri="{FF2B5EF4-FFF2-40B4-BE49-F238E27FC236}">
              <a16:creationId xmlns:a16="http://schemas.microsoft.com/office/drawing/2014/main" id="{00000000-0008-0000-0100-000050400000}"/>
            </a:ext>
          </a:extLst>
        </xdr:cNvPr>
        <xdr:cNvSpPr>
          <a:spLocks noChangeArrowheads="1"/>
        </xdr:cNvSpPr>
      </xdr:nvSpPr>
      <xdr:spPr bwMode="auto">
        <a:xfrm>
          <a:off x="3848100" y="641032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</xdr:colOff>
      <xdr:row>38</xdr:row>
      <xdr:rowOff>28575</xdr:rowOff>
    </xdr:from>
    <xdr:to>
      <xdr:col>6</xdr:col>
      <xdr:colOff>161925</xdr:colOff>
      <xdr:row>38</xdr:row>
      <xdr:rowOff>104775</xdr:rowOff>
    </xdr:to>
    <xdr:sp macro="" textlink="">
      <xdr:nvSpPr>
        <xdr:cNvPr id="16465" name="Rectangle 81">
          <a:extLst>
            <a:ext uri="{FF2B5EF4-FFF2-40B4-BE49-F238E27FC236}">
              <a16:creationId xmlns:a16="http://schemas.microsoft.com/office/drawing/2014/main" id="{00000000-0008-0000-0100-000051400000}"/>
            </a:ext>
          </a:extLst>
        </xdr:cNvPr>
        <xdr:cNvSpPr>
          <a:spLocks noChangeArrowheads="1"/>
        </xdr:cNvSpPr>
      </xdr:nvSpPr>
      <xdr:spPr bwMode="auto">
        <a:xfrm>
          <a:off x="3686175" y="6410325"/>
          <a:ext cx="13335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50000"/>
          </a:srgbClr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219075</xdr:colOff>
      <xdr:row>28</xdr:row>
      <xdr:rowOff>9525</xdr:rowOff>
    </xdr:from>
    <xdr:to>
      <xdr:col>2</xdr:col>
      <xdr:colOff>219075</xdr:colOff>
      <xdr:row>31</xdr:row>
      <xdr:rowOff>114300</xdr:rowOff>
    </xdr:to>
    <xdr:sp macro="" textlink="">
      <xdr:nvSpPr>
        <xdr:cNvPr id="16466" name="Line 82">
          <a:extLst>
            <a:ext uri="{FF2B5EF4-FFF2-40B4-BE49-F238E27FC236}">
              <a16:creationId xmlns:a16="http://schemas.microsoft.com/office/drawing/2014/main" id="{00000000-0008-0000-0100-000052400000}"/>
            </a:ext>
          </a:extLst>
        </xdr:cNvPr>
        <xdr:cNvSpPr>
          <a:spLocks noChangeShapeType="1"/>
        </xdr:cNvSpPr>
      </xdr:nvSpPr>
      <xdr:spPr bwMode="auto">
        <a:xfrm>
          <a:off x="1438275" y="477202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28</xdr:row>
      <xdr:rowOff>28575</xdr:rowOff>
    </xdr:from>
    <xdr:to>
      <xdr:col>7</xdr:col>
      <xdr:colOff>76200</xdr:colOff>
      <xdr:row>31</xdr:row>
      <xdr:rowOff>133350</xdr:rowOff>
    </xdr:to>
    <xdr:sp macro="" textlink="">
      <xdr:nvSpPr>
        <xdr:cNvPr id="16467" name="Line 83">
          <a:extLst>
            <a:ext uri="{FF2B5EF4-FFF2-40B4-BE49-F238E27FC236}">
              <a16:creationId xmlns:a16="http://schemas.microsoft.com/office/drawing/2014/main" id="{00000000-0008-0000-0100-000053400000}"/>
            </a:ext>
          </a:extLst>
        </xdr:cNvPr>
        <xdr:cNvSpPr>
          <a:spLocks noChangeShapeType="1"/>
        </xdr:cNvSpPr>
      </xdr:nvSpPr>
      <xdr:spPr bwMode="auto">
        <a:xfrm>
          <a:off x="4343400" y="479107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29</xdr:row>
      <xdr:rowOff>0</xdr:rowOff>
    </xdr:from>
    <xdr:to>
      <xdr:col>7</xdr:col>
      <xdr:colOff>66675</xdr:colOff>
      <xdr:row>29</xdr:row>
      <xdr:rowOff>0</xdr:rowOff>
    </xdr:to>
    <xdr:sp macro="" textlink="">
      <xdr:nvSpPr>
        <xdr:cNvPr id="16468" name="Line 84">
          <a:extLst>
            <a:ext uri="{FF2B5EF4-FFF2-40B4-BE49-F238E27FC236}">
              <a16:creationId xmlns:a16="http://schemas.microsoft.com/office/drawing/2014/main" id="{00000000-0008-0000-0100-000054400000}"/>
            </a:ext>
          </a:extLst>
        </xdr:cNvPr>
        <xdr:cNvSpPr>
          <a:spLocks noChangeShapeType="1"/>
        </xdr:cNvSpPr>
      </xdr:nvSpPr>
      <xdr:spPr bwMode="auto">
        <a:xfrm>
          <a:off x="1447800" y="4924425"/>
          <a:ext cx="2886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295275</xdr:colOff>
      <xdr:row>28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6469" name="Text Box 85">
          <a:extLst>
            <a:ext uri="{FF2B5EF4-FFF2-40B4-BE49-F238E27FC236}">
              <a16:creationId xmlns:a16="http://schemas.microsoft.com/office/drawing/2014/main" id="{00000000-0008-0000-0100-000055400000}"/>
            </a:ext>
          </a:extLst>
        </xdr:cNvPr>
        <xdr:cNvSpPr txBox="1">
          <a:spLocks noChangeArrowheads="1"/>
        </xdr:cNvSpPr>
      </xdr:nvSpPr>
      <xdr:spPr bwMode="auto">
        <a:xfrm>
          <a:off x="2733675" y="476250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390</a:t>
          </a:r>
          <a:endParaRPr lang="de-CH"/>
        </a:p>
      </xdr:txBody>
    </xdr:sp>
    <xdr:clientData/>
  </xdr:twoCellAnchor>
  <xdr:twoCellAnchor>
    <xdr:from>
      <xdr:col>8</xdr:col>
      <xdr:colOff>495300</xdr:colOff>
      <xdr:row>30</xdr:row>
      <xdr:rowOff>95250</xdr:rowOff>
    </xdr:from>
    <xdr:to>
      <xdr:col>9</xdr:col>
      <xdr:colOff>371475</xdr:colOff>
      <xdr:row>31</xdr:row>
      <xdr:rowOff>142875</xdr:rowOff>
    </xdr:to>
    <xdr:sp macro="" textlink="">
      <xdr:nvSpPr>
        <xdr:cNvPr id="16470" name="Line 86">
          <a:extLst>
            <a:ext uri="{FF2B5EF4-FFF2-40B4-BE49-F238E27FC236}">
              <a16:creationId xmlns:a16="http://schemas.microsoft.com/office/drawing/2014/main" id="{00000000-0008-0000-0100-000056400000}"/>
            </a:ext>
          </a:extLst>
        </xdr:cNvPr>
        <xdr:cNvSpPr>
          <a:spLocks noChangeShapeType="1"/>
        </xdr:cNvSpPr>
      </xdr:nvSpPr>
      <xdr:spPr bwMode="auto">
        <a:xfrm flipV="1">
          <a:off x="5372100" y="5181600"/>
          <a:ext cx="485775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352425</xdr:colOff>
      <xdr:row>29</xdr:row>
      <xdr:rowOff>152400</xdr:rowOff>
    </xdr:from>
    <xdr:to>
      <xdr:col>12</xdr:col>
      <xdr:colOff>304800</xdr:colOff>
      <xdr:row>32</xdr:row>
      <xdr:rowOff>19050</xdr:rowOff>
    </xdr:to>
    <xdr:sp macro="" textlink="">
      <xdr:nvSpPr>
        <xdr:cNvPr id="16471" name="Text Box 87">
          <a:extLst>
            <a:ext uri="{FF2B5EF4-FFF2-40B4-BE49-F238E27FC236}">
              <a16:creationId xmlns:a16="http://schemas.microsoft.com/office/drawing/2014/main" id="{00000000-0008-0000-0100-000057400000}"/>
            </a:ext>
          </a:extLst>
        </xdr:cNvPr>
        <xdr:cNvSpPr txBox="1">
          <a:spLocks noChangeArrowheads="1"/>
        </xdr:cNvSpPr>
      </xdr:nvSpPr>
      <xdr:spPr bwMode="auto">
        <a:xfrm>
          <a:off x="5838825" y="5076825"/>
          <a:ext cx="1781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hard-paper tube d = 50/48 mm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( +2 layers polyurethane )</a:t>
          </a:r>
          <a:endParaRPr lang="de-CH"/>
        </a:p>
      </xdr:txBody>
    </xdr:sp>
    <xdr:clientData/>
  </xdr:twoCellAnchor>
  <xdr:twoCellAnchor>
    <xdr:from>
      <xdr:col>3</xdr:col>
      <xdr:colOff>9525</xdr:colOff>
      <xdr:row>29</xdr:row>
      <xdr:rowOff>57150</xdr:rowOff>
    </xdr:from>
    <xdr:to>
      <xdr:col>6</xdr:col>
      <xdr:colOff>152400</xdr:colOff>
      <xdr:row>30</xdr:row>
      <xdr:rowOff>85725</xdr:rowOff>
    </xdr:to>
    <xdr:sp macro="" textlink="">
      <xdr:nvSpPr>
        <xdr:cNvPr id="16472" name="Text Box 88">
          <a:extLst>
            <a:ext uri="{FF2B5EF4-FFF2-40B4-BE49-F238E27FC236}">
              <a16:creationId xmlns:a16="http://schemas.microsoft.com/office/drawing/2014/main" id="{00000000-0008-0000-0100-000058400000}"/>
            </a:ext>
          </a:extLst>
        </xdr:cNvPr>
        <xdr:cNvSpPr txBox="1">
          <a:spLocks noChangeArrowheads="1"/>
        </xdr:cNvSpPr>
      </xdr:nvSpPr>
      <xdr:spPr bwMode="auto">
        <a:xfrm>
          <a:off x="1838325" y="4981575"/>
          <a:ext cx="19716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layers of copper-profile windings</a:t>
          </a:r>
          <a:endParaRPr lang="de-CH"/>
        </a:p>
      </xdr:txBody>
    </xdr:sp>
    <xdr:clientData/>
  </xdr:twoCellAnchor>
  <xdr:twoCellAnchor>
    <xdr:from>
      <xdr:col>9</xdr:col>
      <xdr:colOff>9525</xdr:colOff>
      <xdr:row>37</xdr:row>
      <xdr:rowOff>133350</xdr:rowOff>
    </xdr:from>
    <xdr:to>
      <xdr:col>9</xdr:col>
      <xdr:colOff>9525</xdr:colOff>
      <xdr:row>44</xdr:row>
      <xdr:rowOff>0</xdr:rowOff>
    </xdr:to>
    <xdr:sp macro="" textlink="">
      <xdr:nvSpPr>
        <xdr:cNvPr id="16473" name="Line 89">
          <a:extLst>
            <a:ext uri="{FF2B5EF4-FFF2-40B4-BE49-F238E27FC236}">
              <a16:creationId xmlns:a16="http://schemas.microsoft.com/office/drawing/2014/main" id="{00000000-0008-0000-0100-000059400000}"/>
            </a:ext>
          </a:extLst>
        </xdr:cNvPr>
        <xdr:cNvSpPr>
          <a:spLocks noChangeShapeType="1"/>
        </xdr:cNvSpPr>
      </xdr:nvSpPr>
      <xdr:spPr bwMode="auto">
        <a:xfrm>
          <a:off x="5495925" y="6353175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600075</xdr:colOff>
      <xdr:row>37</xdr:row>
      <xdr:rowOff>152400</xdr:rowOff>
    </xdr:from>
    <xdr:to>
      <xdr:col>0</xdr:col>
      <xdr:colOff>600075</xdr:colOff>
      <xdr:row>44</xdr:row>
      <xdr:rowOff>0</xdr:rowOff>
    </xdr:to>
    <xdr:sp macro="" textlink="">
      <xdr:nvSpPr>
        <xdr:cNvPr id="16474" name="Line 90">
          <a:extLst>
            <a:ext uri="{FF2B5EF4-FFF2-40B4-BE49-F238E27FC236}">
              <a16:creationId xmlns:a16="http://schemas.microsoft.com/office/drawing/2014/main" id="{00000000-0008-0000-0100-00005A400000}"/>
            </a:ext>
          </a:extLst>
        </xdr:cNvPr>
        <xdr:cNvSpPr>
          <a:spLocks noChangeShapeType="1"/>
        </xdr:cNvSpPr>
      </xdr:nvSpPr>
      <xdr:spPr bwMode="auto">
        <a:xfrm>
          <a:off x="600075" y="6372225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581025</xdr:colOff>
      <xdr:row>44</xdr:row>
      <xdr:rowOff>0</xdr:rowOff>
    </xdr:from>
    <xdr:to>
      <xdr:col>9</xdr:col>
      <xdr:colOff>0</xdr:colOff>
      <xdr:row>44</xdr:row>
      <xdr:rowOff>0</xdr:rowOff>
    </xdr:to>
    <xdr:sp macro="" textlink="">
      <xdr:nvSpPr>
        <xdr:cNvPr id="16475" name="Line 91">
          <a:extLst>
            <a:ext uri="{FF2B5EF4-FFF2-40B4-BE49-F238E27FC236}">
              <a16:creationId xmlns:a16="http://schemas.microsoft.com/office/drawing/2014/main" id="{00000000-0008-0000-0100-00005B400000}"/>
            </a:ext>
          </a:extLst>
        </xdr:cNvPr>
        <xdr:cNvSpPr>
          <a:spLocks noChangeShapeType="1"/>
        </xdr:cNvSpPr>
      </xdr:nvSpPr>
      <xdr:spPr bwMode="auto">
        <a:xfrm flipV="1">
          <a:off x="581025" y="7353300"/>
          <a:ext cx="490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42</xdr:row>
      <xdr:rowOff>142875</xdr:rowOff>
    </xdr:from>
    <xdr:to>
      <xdr:col>5</xdr:col>
      <xdr:colOff>285750</xdr:colOff>
      <xdr:row>43</xdr:row>
      <xdr:rowOff>152400</xdr:rowOff>
    </xdr:to>
    <xdr:sp macro="" textlink="">
      <xdr:nvSpPr>
        <xdr:cNvPr id="16476" name="Text Box 92">
          <a:extLst>
            <a:ext uri="{FF2B5EF4-FFF2-40B4-BE49-F238E27FC236}">
              <a16:creationId xmlns:a16="http://schemas.microsoft.com/office/drawing/2014/main" id="{00000000-0008-0000-0100-00005C400000}"/>
            </a:ext>
          </a:extLst>
        </xdr:cNvPr>
        <xdr:cNvSpPr txBox="1">
          <a:spLocks noChangeArrowheads="1"/>
        </xdr:cNvSpPr>
      </xdr:nvSpPr>
      <xdr:spPr bwMode="auto">
        <a:xfrm>
          <a:off x="3028950" y="7172325"/>
          <a:ext cx="304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500</a:t>
          </a:r>
          <a:endParaRPr lang="de-CH"/>
        </a:p>
      </xdr:txBody>
    </xdr:sp>
    <xdr:clientData/>
  </xdr:twoCellAnchor>
  <xdr:twoCellAnchor>
    <xdr:from>
      <xdr:col>12</xdr:col>
      <xdr:colOff>390525</xdr:colOff>
      <xdr:row>44</xdr:row>
      <xdr:rowOff>0</xdr:rowOff>
    </xdr:from>
    <xdr:to>
      <xdr:col>13</xdr:col>
      <xdr:colOff>209550</xdr:colOff>
      <xdr:row>44</xdr:row>
      <xdr:rowOff>0</xdr:rowOff>
    </xdr:to>
    <xdr:sp macro="" textlink="">
      <xdr:nvSpPr>
        <xdr:cNvPr id="16477" name="Oval 93">
          <a:extLst>
            <a:ext uri="{FF2B5EF4-FFF2-40B4-BE49-F238E27FC236}">
              <a16:creationId xmlns:a16="http://schemas.microsoft.com/office/drawing/2014/main" id="{00000000-0008-0000-0100-00005D400000}"/>
            </a:ext>
          </a:extLst>
        </xdr:cNvPr>
        <xdr:cNvSpPr>
          <a:spLocks noChangeArrowheads="1"/>
        </xdr:cNvSpPr>
      </xdr:nvSpPr>
      <xdr:spPr bwMode="auto">
        <a:xfrm>
          <a:off x="7705725" y="7353300"/>
          <a:ext cx="428625" cy="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44</xdr:row>
      <xdr:rowOff>0</xdr:rowOff>
    </xdr:from>
    <xdr:to>
      <xdr:col>13</xdr:col>
      <xdr:colOff>0</xdr:colOff>
      <xdr:row>44</xdr:row>
      <xdr:rowOff>0</xdr:rowOff>
    </xdr:to>
    <xdr:cxnSp macro="">
      <xdr:nvCxnSpPr>
        <xdr:cNvPr id="16478" name="AutoShape 94">
          <a:extLst>
            <a:ext uri="{FF2B5EF4-FFF2-40B4-BE49-F238E27FC236}">
              <a16:creationId xmlns:a16="http://schemas.microsoft.com/office/drawing/2014/main" id="{00000000-0008-0000-0100-00005E400000}"/>
            </a:ext>
          </a:extLst>
        </xdr:cNvPr>
        <xdr:cNvCxnSpPr>
          <a:cxnSpLocks noChangeShapeType="1"/>
          <a:stCxn id="16485" idx="4"/>
          <a:endCxn id="16477" idx="0"/>
        </xdr:cNvCxnSpPr>
      </xdr:nvCxnSpPr>
      <xdr:spPr bwMode="auto">
        <a:xfrm>
          <a:off x="7924800" y="7353300"/>
          <a:ext cx="0" cy="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123825</xdr:colOff>
      <xdr:row>44</xdr:row>
      <xdr:rowOff>0</xdr:rowOff>
    </xdr:from>
    <xdr:to>
      <xdr:col>12</xdr:col>
      <xdr:colOff>304800</xdr:colOff>
      <xdr:row>44</xdr:row>
      <xdr:rowOff>0</xdr:rowOff>
    </xdr:to>
    <xdr:sp macro="" textlink="">
      <xdr:nvSpPr>
        <xdr:cNvPr id="16479" name="Text Box 95">
          <a:extLst>
            <a:ext uri="{FF2B5EF4-FFF2-40B4-BE49-F238E27FC236}">
              <a16:creationId xmlns:a16="http://schemas.microsoft.com/office/drawing/2014/main" id="{00000000-0008-0000-0100-00005F400000}"/>
            </a:ext>
          </a:extLst>
        </xdr:cNvPr>
        <xdr:cNvSpPr txBox="1">
          <a:spLocks noChangeArrowheads="1"/>
        </xdr:cNvSpPr>
      </xdr:nvSpPr>
      <xdr:spPr bwMode="auto">
        <a:xfrm>
          <a:off x="7439025" y="73533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de-CH"/>
        </a:p>
      </xdr:txBody>
    </xdr:sp>
    <xdr:clientData/>
  </xdr:twoCellAnchor>
  <xdr:twoCellAnchor>
    <xdr:from>
      <xdr:col>12</xdr:col>
      <xdr:colOff>542925</xdr:colOff>
      <xdr:row>44</xdr:row>
      <xdr:rowOff>0</xdr:rowOff>
    </xdr:from>
    <xdr:to>
      <xdr:col>13</xdr:col>
      <xdr:colOff>104775</xdr:colOff>
      <xdr:row>44</xdr:row>
      <xdr:rowOff>0</xdr:rowOff>
    </xdr:to>
    <xdr:sp macro="" textlink="">
      <xdr:nvSpPr>
        <xdr:cNvPr id="16480" name="Text Box 96">
          <a:extLst>
            <a:ext uri="{FF2B5EF4-FFF2-40B4-BE49-F238E27FC236}">
              <a16:creationId xmlns:a16="http://schemas.microsoft.com/office/drawing/2014/main" id="{00000000-0008-0000-0100-000060400000}"/>
            </a:ext>
          </a:extLst>
        </xdr:cNvPr>
        <xdr:cNvSpPr txBox="1">
          <a:spLocks noChangeArrowheads="1"/>
        </xdr:cNvSpPr>
      </xdr:nvSpPr>
      <xdr:spPr bwMode="auto">
        <a:xfrm>
          <a:off x="7858125" y="73533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15</xdr:col>
      <xdr:colOff>438150</xdr:colOff>
      <xdr:row>44</xdr:row>
      <xdr:rowOff>0</xdr:rowOff>
    </xdr:from>
    <xdr:to>
      <xdr:col>16</xdr:col>
      <xdr:colOff>114300</xdr:colOff>
      <xdr:row>44</xdr:row>
      <xdr:rowOff>0</xdr:rowOff>
    </xdr:to>
    <xdr:sp macro="" textlink="">
      <xdr:nvSpPr>
        <xdr:cNvPr id="16481" name="Text Box 97">
          <a:extLst>
            <a:ext uri="{FF2B5EF4-FFF2-40B4-BE49-F238E27FC236}">
              <a16:creationId xmlns:a16="http://schemas.microsoft.com/office/drawing/2014/main" id="{00000000-0008-0000-0100-000061400000}"/>
            </a:ext>
          </a:extLst>
        </xdr:cNvPr>
        <xdr:cNvSpPr txBox="1">
          <a:spLocks noChangeArrowheads="1"/>
        </xdr:cNvSpPr>
      </xdr:nvSpPr>
      <xdr:spPr bwMode="auto">
        <a:xfrm>
          <a:off x="9582150" y="73533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Rcu</a:t>
          </a:r>
          <a:endParaRPr lang="de-CH"/>
        </a:p>
      </xdr:txBody>
    </xdr:sp>
    <xdr:clientData/>
  </xdr:twoCellAnchor>
  <xdr:twoCellAnchor>
    <xdr:from>
      <xdr:col>13</xdr:col>
      <xdr:colOff>390525</xdr:colOff>
      <xdr:row>44</xdr:row>
      <xdr:rowOff>0</xdr:rowOff>
    </xdr:from>
    <xdr:to>
      <xdr:col>14</xdr:col>
      <xdr:colOff>190500</xdr:colOff>
      <xdr:row>44</xdr:row>
      <xdr:rowOff>0</xdr:rowOff>
    </xdr:to>
    <xdr:sp macro="" textlink="">
      <xdr:nvSpPr>
        <xdr:cNvPr id="16482" name="Text Box 98">
          <a:extLst>
            <a:ext uri="{FF2B5EF4-FFF2-40B4-BE49-F238E27FC236}">
              <a16:creationId xmlns:a16="http://schemas.microsoft.com/office/drawing/2014/main" id="{00000000-0008-0000-0100-000062400000}"/>
            </a:ext>
          </a:extLst>
        </xdr:cNvPr>
        <xdr:cNvSpPr txBox="1">
          <a:spLocks noChangeArrowheads="1"/>
        </xdr:cNvSpPr>
      </xdr:nvSpPr>
      <xdr:spPr bwMode="auto">
        <a:xfrm>
          <a:off x="8315325" y="73533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Rcabl</a:t>
          </a:r>
          <a:endParaRPr lang="de-CH"/>
        </a:p>
      </xdr:txBody>
    </xdr:sp>
    <xdr:clientData/>
  </xdr:twoCellAnchor>
  <xdr:twoCellAnchor>
    <xdr:from>
      <xdr:col>11</xdr:col>
      <xdr:colOff>47625</xdr:colOff>
      <xdr:row>44</xdr:row>
      <xdr:rowOff>85725</xdr:rowOff>
    </xdr:from>
    <xdr:to>
      <xdr:col>11</xdr:col>
      <xdr:colOff>476250</xdr:colOff>
      <xdr:row>44</xdr:row>
      <xdr:rowOff>85725</xdr:rowOff>
    </xdr:to>
    <xdr:sp macro="" textlink="">
      <xdr:nvSpPr>
        <xdr:cNvPr id="16483" name="Oval 99">
          <a:extLst>
            <a:ext uri="{FF2B5EF4-FFF2-40B4-BE49-F238E27FC236}">
              <a16:creationId xmlns:a16="http://schemas.microsoft.com/office/drawing/2014/main" id="{00000000-0008-0000-0100-000063400000}"/>
            </a:ext>
          </a:extLst>
        </xdr:cNvPr>
        <xdr:cNvSpPr>
          <a:spLocks noChangeArrowheads="1"/>
        </xdr:cNvSpPr>
      </xdr:nvSpPr>
      <xdr:spPr bwMode="auto">
        <a:xfrm>
          <a:off x="6753225" y="7439025"/>
          <a:ext cx="428625" cy="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161925</xdr:colOff>
      <xdr:row>44</xdr:row>
      <xdr:rowOff>0</xdr:rowOff>
    </xdr:from>
    <xdr:to>
      <xdr:col>11</xdr:col>
      <xdr:colOff>361950</xdr:colOff>
      <xdr:row>44</xdr:row>
      <xdr:rowOff>0</xdr:rowOff>
    </xdr:to>
    <xdr:sp macro="" textlink="">
      <xdr:nvSpPr>
        <xdr:cNvPr id="16484" name="Text Box 100">
          <a:extLst>
            <a:ext uri="{FF2B5EF4-FFF2-40B4-BE49-F238E27FC236}">
              <a16:creationId xmlns:a16="http://schemas.microsoft.com/office/drawing/2014/main" id="{00000000-0008-0000-0100-000064400000}"/>
            </a:ext>
          </a:extLst>
        </xdr:cNvPr>
        <xdr:cNvSpPr txBox="1">
          <a:spLocks noChangeArrowheads="1"/>
        </xdr:cNvSpPr>
      </xdr:nvSpPr>
      <xdr:spPr bwMode="auto">
        <a:xfrm>
          <a:off x="6867525" y="7353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  <a:endParaRPr lang="de-CH"/>
        </a:p>
      </xdr:txBody>
    </xdr:sp>
    <xdr:clientData/>
  </xdr:twoCellAnchor>
  <xdr:twoCellAnchor>
    <xdr:from>
      <xdr:col>12</xdr:col>
      <xdr:colOff>561975</xdr:colOff>
      <xdr:row>44</xdr:row>
      <xdr:rowOff>0</xdr:rowOff>
    </xdr:from>
    <xdr:to>
      <xdr:col>13</xdr:col>
      <xdr:colOff>47625</xdr:colOff>
      <xdr:row>44</xdr:row>
      <xdr:rowOff>0</xdr:rowOff>
    </xdr:to>
    <xdr:sp macro="" textlink="">
      <xdr:nvSpPr>
        <xdr:cNvPr id="16485" name="Oval 101">
          <a:extLst>
            <a:ext uri="{FF2B5EF4-FFF2-40B4-BE49-F238E27FC236}">
              <a16:creationId xmlns:a16="http://schemas.microsoft.com/office/drawing/2014/main" id="{00000000-0008-0000-0100-000065400000}"/>
            </a:ext>
          </a:extLst>
        </xdr:cNvPr>
        <xdr:cNvSpPr>
          <a:spLocks noChangeArrowheads="1"/>
        </xdr:cNvSpPr>
      </xdr:nvSpPr>
      <xdr:spPr bwMode="auto">
        <a:xfrm>
          <a:off x="7877175" y="7353300"/>
          <a:ext cx="952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209550</xdr:colOff>
      <xdr:row>44</xdr:row>
      <xdr:rowOff>0</xdr:rowOff>
    </xdr:from>
    <xdr:to>
      <xdr:col>11</xdr:col>
      <xdr:colOff>304800</xdr:colOff>
      <xdr:row>44</xdr:row>
      <xdr:rowOff>0</xdr:rowOff>
    </xdr:to>
    <xdr:sp macro="" textlink="">
      <xdr:nvSpPr>
        <xdr:cNvPr id="16486" name="Oval 102">
          <a:extLst>
            <a:ext uri="{FF2B5EF4-FFF2-40B4-BE49-F238E27FC236}">
              <a16:creationId xmlns:a16="http://schemas.microsoft.com/office/drawing/2014/main" id="{00000000-0008-0000-0100-000066400000}"/>
            </a:ext>
          </a:extLst>
        </xdr:cNvPr>
        <xdr:cNvSpPr>
          <a:spLocks noChangeArrowheads="1"/>
        </xdr:cNvSpPr>
      </xdr:nvSpPr>
      <xdr:spPr bwMode="auto">
        <a:xfrm>
          <a:off x="6915150" y="7353300"/>
          <a:ext cx="952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44</xdr:row>
      <xdr:rowOff>0</xdr:rowOff>
    </xdr:from>
    <xdr:to>
      <xdr:col>13</xdr:col>
      <xdr:colOff>47625</xdr:colOff>
      <xdr:row>44</xdr:row>
      <xdr:rowOff>0</xdr:rowOff>
    </xdr:to>
    <xdr:sp macro="" textlink="">
      <xdr:nvSpPr>
        <xdr:cNvPr id="16487" name="Oval 103">
          <a:extLst>
            <a:ext uri="{FF2B5EF4-FFF2-40B4-BE49-F238E27FC236}">
              <a16:creationId xmlns:a16="http://schemas.microsoft.com/office/drawing/2014/main" id="{00000000-0008-0000-0100-000067400000}"/>
            </a:ext>
          </a:extLst>
        </xdr:cNvPr>
        <xdr:cNvSpPr>
          <a:spLocks noChangeArrowheads="1"/>
        </xdr:cNvSpPr>
      </xdr:nvSpPr>
      <xdr:spPr bwMode="auto">
        <a:xfrm>
          <a:off x="7877175" y="7353300"/>
          <a:ext cx="952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44</xdr:row>
      <xdr:rowOff>0</xdr:rowOff>
    </xdr:from>
    <xdr:to>
      <xdr:col>13</xdr:col>
      <xdr:colOff>0</xdr:colOff>
      <xdr:row>44</xdr:row>
      <xdr:rowOff>0</xdr:rowOff>
    </xdr:to>
    <xdr:cxnSp macro="">
      <xdr:nvCxnSpPr>
        <xdr:cNvPr id="16488" name="AutoShape 104">
          <a:extLst>
            <a:ext uri="{FF2B5EF4-FFF2-40B4-BE49-F238E27FC236}">
              <a16:creationId xmlns:a16="http://schemas.microsoft.com/office/drawing/2014/main" id="{00000000-0008-0000-0100-000068400000}"/>
            </a:ext>
          </a:extLst>
        </xdr:cNvPr>
        <xdr:cNvCxnSpPr>
          <a:cxnSpLocks noChangeShapeType="1"/>
          <a:stCxn id="16477" idx="4"/>
          <a:endCxn id="16487" idx="0"/>
        </xdr:cNvCxnSpPr>
      </xdr:nvCxnSpPr>
      <xdr:spPr bwMode="auto">
        <a:xfrm>
          <a:off x="7924800" y="7353300"/>
          <a:ext cx="0" cy="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476250</xdr:colOff>
      <xdr:row>44</xdr:row>
      <xdr:rowOff>0</xdr:rowOff>
    </xdr:from>
    <xdr:to>
      <xdr:col>10</xdr:col>
      <xdr:colOff>371475</xdr:colOff>
      <xdr:row>44</xdr:row>
      <xdr:rowOff>0</xdr:rowOff>
    </xdr:to>
    <xdr:sp macro="" textlink="">
      <xdr:nvSpPr>
        <xdr:cNvPr id="16489" name="Text Box 105">
          <a:extLst>
            <a:ext uri="{FF2B5EF4-FFF2-40B4-BE49-F238E27FC236}">
              <a16:creationId xmlns:a16="http://schemas.microsoft.com/office/drawing/2014/main" id="{00000000-0008-0000-0100-000069400000}"/>
            </a:ext>
          </a:extLst>
        </xdr:cNvPr>
        <xdr:cNvSpPr txBox="1">
          <a:spLocks noChangeArrowheads="1"/>
        </xdr:cNvSpPr>
      </xdr:nvSpPr>
      <xdr:spPr bwMode="auto">
        <a:xfrm>
          <a:off x="5962650" y="73533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50 Hz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 sine )</a:t>
          </a:r>
          <a:endParaRPr lang="de-CH"/>
        </a:p>
      </xdr:txBody>
    </xdr:sp>
    <xdr:clientData/>
  </xdr:twoCellAnchor>
  <xdr:twoCellAnchor>
    <xdr:from>
      <xdr:col>8</xdr:col>
      <xdr:colOff>409575</xdr:colOff>
      <xdr:row>12</xdr:row>
      <xdr:rowOff>47625</xdr:rowOff>
    </xdr:from>
    <xdr:to>
      <xdr:col>8</xdr:col>
      <xdr:colOff>542925</xdr:colOff>
      <xdr:row>13</xdr:row>
      <xdr:rowOff>57150</xdr:rowOff>
    </xdr:to>
    <xdr:sp macro="" textlink="">
      <xdr:nvSpPr>
        <xdr:cNvPr id="16490" name="Text Box 106">
          <a:extLst>
            <a:ext uri="{FF2B5EF4-FFF2-40B4-BE49-F238E27FC236}">
              <a16:creationId xmlns:a16="http://schemas.microsoft.com/office/drawing/2014/main" id="{00000000-0008-0000-0100-00006A400000}"/>
            </a:ext>
          </a:extLst>
        </xdr:cNvPr>
        <xdr:cNvSpPr txBox="1">
          <a:spLocks noChangeArrowheads="1"/>
        </xdr:cNvSpPr>
      </xdr:nvSpPr>
      <xdr:spPr bwMode="auto">
        <a:xfrm>
          <a:off x="5286375" y="2219325"/>
          <a:ext cx="133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9</xdr:col>
      <xdr:colOff>19050</xdr:colOff>
      <xdr:row>13</xdr:row>
      <xdr:rowOff>142875</xdr:rowOff>
    </xdr:from>
    <xdr:to>
      <xdr:col>9</xdr:col>
      <xdr:colOff>180975</xdr:colOff>
      <xdr:row>15</xdr:row>
      <xdr:rowOff>28575</xdr:rowOff>
    </xdr:to>
    <xdr:sp macro="" textlink="">
      <xdr:nvSpPr>
        <xdr:cNvPr id="16491" name="Text Box 107">
          <a:extLst>
            <a:ext uri="{FF2B5EF4-FFF2-40B4-BE49-F238E27FC236}">
              <a16:creationId xmlns:a16="http://schemas.microsoft.com/office/drawing/2014/main" id="{00000000-0008-0000-0100-00006B400000}"/>
            </a:ext>
          </a:extLst>
        </xdr:cNvPr>
        <xdr:cNvSpPr txBox="1">
          <a:spLocks noChangeArrowheads="1"/>
        </xdr:cNvSpPr>
      </xdr:nvSpPr>
      <xdr:spPr bwMode="auto">
        <a:xfrm>
          <a:off x="5505450" y="2476500"/>
          <a:ext cx="161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39</a:t>
          </a:r>
          <a:endParaRPr lang="de-CH"/>
        </a:p>
      </xdr:txBody>
    </xdr:sp>
    <xdr:clientData/>
  </xdr:twoCellAnchor>
  <xdr:twoCellAnchor>
    <xdr:from>
      <xdr:col>4</xdr:col>
      <xdr:colOff>228600</xdr:colOff>
      <xdr:row>33</xdr:row>
      <xdr:rowOff>0</xdr:rowOff>
    </xdr:from>
    <xdr:to>
      <xdr:col>4</xdr:col>
      <xdr:colOff>542925</xdr:colOff>
      <xdr:row>34</xdr:row>
      <xdr:rowOff>0</xdr:rowOff>
    </xdr:to>
    <xdr:sp macro="" textlink="">
      <xdr:nvSpPr>
        <xdr:cNvPr id="16492" name="Text Box 108">
          <a:extLst>
            <a:ext uri="{FF2B5EF4-FFF2-40B4-BE49-F238E27FC236}">
              <a16:creationId xmlns:a16="http://schemas.microsoft.com/office/drawing/2014/main" id="{00000000-0008-0000-0100-00006C400000}"/>
            </a:ext>
          </a:extLst>
        </xdr:cNvPr>
        <xdr:cNvSpPr txBox="1">
          <a:spLocks noChangeArrowheads="1"/>
        </xdr:cNvSpPr>
      </xdr:nvSpPr>
      <xdr:spPr bwMode="auto">
        <a:xfrm>
          <a:off x="2667000" y="5572125"/>
          <a:ext cx="3143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420</a:t>
          </a:r>
          <a:endParaRPr lang="de-CH"/>
        </a:p>
      </xdr:txBody>
    </xdr:sp>
    <xdr:clientData/>
  </xdr:twoCellAnchor>
  <xdr:twoCellAnchor>
    <xdr:from>
      <xdr:col>8</xdr:col>
      <xdr:colOff>209550</xdr:colOff>
      <xdr:row>34</xdr:row>
      <xdr:rowOff>0</xdr:rowOff>
    </xdr:from>
    <xdr:to>
      <xdr:col>8</xdr:col>
      <xdr:colOff>419100</xdr:colOff>
      <xdr:row>35</xdr:row>
      <xdr:rowOff>9525</xdr:rowOff>
    </xdr:to>
    <xdr:sp macro="" textlink="">
      <xdr:nvSpPr>
        <xdr:cNvPr id="16493" name="Text Box 109">
          <a:extLst>
            <a:ext uri="{FF2B5EF4-FFF2-40B4-BE49-F238E27FC236}">
              <a16:creationId xmlns:a16="http://schemas.microsoft.com/office/drawing/2014/main" id="{00000000-0008-0000-0100-00006D400000}"/>
            </a:ext>
          </a:extLst>
        </xdr:cNvPr>
        <xdr:cNvSpPr txBox="1">
          <a:spLocks noChangeArrowheads="1"/>
        </xdr:cNvSpPr>
      </xdr:nvSpPr>
      <xdr:spPr bwMode="auto">
        <a:xfrm>
          <a:off x="5086350" y="57340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de-CH"/>
        </a:p>
      </xdr:txBody>
    </xdr:sp>
    <xdr:clientData/>
  </xdr:twoCellAnchor>
  <xdr:twoCellAnchor>
    <xdr:from>
      <xdr:col>8</xdr:col>
      <xdr:colOff>180975</xdr:colOff>
      <xdr:row>35</xdr:row>
      <xdr:rowOff>28575</xdr:rowOff>
    </xdr:from>
    <xdr:to>
      <xdr:col>8</xdr:col>
      <xdr:colOff>495300</xdr:colOff>
      <xdr:row>36</xdr:row>
      <xdr:rowOff>47625</xdr:rowOff>
    </xdr:to>
    <xdr:sp macro="" textlink="">
      <xdr:nvSpPr>
        <xdr:cNvPr id="16494" name="Text Box 110">
          <a:extLst>
            <a:ext uri="{FF2B5EF4-FFF2-40B4-BE49-F238E27FC236}">
              <a16:creationId xmlns:a16="http://schemas.microsoft.com/office/drawing/2014/main" id="{00000000-0008-0000-0100-00006E400000}"/>
            </a:ext>
          </a:extLst>
        </xdr:cNvPr>
        <xdr:cNvSpPr txBox="1">
          <a:spLocks noChangeArrowheads="1"/>
        </xdr:cNvSpPr>
      </xdr:nvSpPr>
      <xdr:spPr bwMode="auto">
        <a:xfrm>
          <a:off x="5057775" y="5924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cork</a:t>
          </a:r>
          <a:endParaRPr lang="de-CH"/>
        </a:p>
      </xdr:txBody>
    </xdr:sp>
    <xdr:clientData/>
  </xdr:twoCellAnchor>
  <xdr:twoCellAnchor>
    <xdr:from>
      <xdr:col>3</xdr:col>
      <xdr:colOff>409575</xdr:colOff>
      <xdr:row>34</xdr:row>
      <xdr:rowOff>114300</xdr:rowOff>
    </xdr:from>
    <xdr:to>
      <xdr:col>5</xdr:col>
      <xdr:colOff>323850</xdr:colOff>
      <xdr:row>35</xdr:row>
      <xdr:rowOff>142875</xdr:rowOff>
    </xdr:to>
    <xdr:sp macro="" textlink="">
      <xdr:nvSpPr>
        <xdr:cNvPr id="16495" name="Text Box 111">
          <a:extLst>
            <a:ext uri="{FF2B5EF4-FFF2-40B4-BE49-F238E27FC236}">
              <a16:creationId xmlns:a16="http://schemas.microsoft.com/office/drawing/2014/main" id="{00000000-0008-0000-0100-00006F400000}"/>
            </a:ext>
          </a:extLst>
        </xdr:cNvPr>
        <xdr:cNvSpPr txBox="1">
          <a:spLocks noChangeArrowheads="1"/>
        </xdr:cNvSpPr>
      </xdr:nvSpPr>
      <xdr:spPr bwMode="auto">
        <a:xfrm>
          <a:off x="2238375" y="5848350"/>
          <a:ext cx="1133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laminated-iron core</a:t>
          </a:r>
          <a:endParaRPr lang="de-CH"/>
        </a:p>
      </xdr:txBody>
    </xdr:sp>
    <xdr:clientData/>
  </xdr:twoCellAnchor>
  <xdr:twoCellAnchor>
    <xdr:from>
      <xdr:col>1</xdr:col>
      <xdr:colOff>190500</xdr:colOff>
      <xdr:row>33</xdr:row>
      <xdr:rowOff>152400</xdr:rowOff>
    </xdr:from>
    <xdr:to>
      <xdr:col>1</xdr:col>
      <xdr:colOff>400050</xdr:colOff>
      <xdr:row>35</xdr:row>
      <xdr:rowOff>0</xdr:rowOff>
    </xdr:to>
    <xdr:sp macro="" textlink="">
      <xdr:nvSpPr>
        <xdr:cNvPr id="16496" name="Text Box 112">
          <a:extLst>
            <a:ext uri="{FF2B5EF4-FFF2-40B4-BE49-F238E27FC236}">
              <a16:creationId xmlns:a16="http://schemas.microsoft.com/office/drawing/2014/main" id="{00000000-0008-0000-0100-000070400000}"/>
            </a:ext>
          </a:extLst>
        </xdr:cNvPr>
        <xdr:cNvSpPr txBox="1">
          <a:spLocks noChangeArrowheads="1"/>
        </xdr:cNvSpPr>
      </xdr:nvSpPr>
      <xdr:spPr bwMode="auto">
        <a:xfrm>
          <a:off x="800100" y="57245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31</a:t>
          </a:r>
          <a:endParaRPr lang="de-CH"/>
        </a:p>
      </xdr:txBody>
    </xdr:sp>
    <xdr:clientData/>
  </xdr:twoCellAnchor>
  <xdr:twoCellAnchor>
    <xdr:from>
      <xdr:col>1</xdr:col>
      <xdr:colOff>104775</xdr:colOff>
      <xdr:row>35</xdr:row>
      <xdr:rowOff>38100</xdr:rowOff>
    </xdr:from>
    <xdr:to>
      <xdr:col>1</xdr:col>
      <xdr:colOff>419100</xdr:colOff>
      <xdr:row>36</xdr:row>
      <xdr:rowOff>57150</xdr:rowOff>
    </xdr:to>
    <xdr:sp macro="" textlink="">
      <xdr:nvSpPr>
        <xdr:cNvPr id="16497" name="Text Box 113">
          <a:extLst>
            <a:ext uri="{FF2B5EF4-FFF2-40B4-BE49-F238E27FC236}">
              <a16:creationId xmlns:a16="http://schemas.microsoft.com/office/drawing/2014/main" id="{00000000-0008-0000-0100-000071400000}"/>
            </a:ext>
          </a:extLst>
        </xdr:cNvPr>
        <xdr:cNvSpPr txBox="1">
          <a:spLocks noChangeArrowheads="1"/>
        </xdr:cNvSpPr>
      </xdr:nvSpPr>
      <xdr:spPr bwMode="auto">
        <a:xfrm>
          <a:off x="714375" y="5934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cork</a:t>
          </a:r>
          <a:endParaRPr lang="de-CH"/>
        </a:p>
      </xdr:txBody>
    </xdr:sp>
    <xdr:clientData/>
  </xdr:twoCellAnchor>
  <xdr:twoCellAnchor>
    <xdr:from>
      <xdr:col>4</xdr:col>
      <xdr:colOff>133350</xdr:colOff>
      <xdr:row>54</xdr:row>
      <xdr:rowOff>0</xdr:rowOff>
    </xdr:from>
    <xdr:to>
      <xdr:col>4</xdr:col>
      <xdr:colOff>476250</xdr:colOff>
      <xdr:row>61</xdr:row>
      <xdr:rowOff>152400</xdr:rowOff>
    </xdr:to>
    <xdr:sp macro="" textlink="">
      <xdr:nvSpPr>
        <xdr:cNvPr id="16498" name="Rectangle 114" descr="Outlined diamond">
          <a:extLst>
            <a:ext uri="{FF2B5EF4-FFF2-40B4-BE49-F238E27FC236}">
              <a16:creationId xmlns:a16="http://schemas.microsoft.com/office/drawing/2014/main" id="{00000000-0008-0000-0100-000072400000}"/>
            </a:ext>
          </a:extLst>
        </xdr:cNvPr>
        <xdr:cNvSpPr>
          <a:spLocks noChangeArrowheads="1"/>
        </xdr:cNvSpPr>
      </xdr:nvSpPr>
      <xdr:spPr bwMode="auto">
        <a:xfrm>
          <a:off x="2571750" y="897255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70</xdr:row>
      <xdr:rowOff>19050</xdr:rowOff>
    </xdr:from>
    <xdr:to>
      <xdr:col>4</xdr:col>
      <xdr:colOff>466725</xdr:colOff>
      <xdr:row>78</xdr:row>
      <xdr:rowOff>9525</xdr:rowOff>
    </xdr:to>
    <xdr:sp macro="" textlink="">
      <xdr:nvSpPr>
        <xdr:cNvPr id="16499" name="Rectangle 115" descr="Outlined diamond">
          <a:extLst>
            <a:ext uri="{FF2B5EF4-FFF2-40B4-BE49-F238E27FC236}">
              <a16:creationId xmlns:a16="http://schemas.microsoft.com/office/drawing/2014/main" id="{00000000-0008-0000-0100-000073400000}"/>
            </a:ext>
          </a:extLst>
        </xdr:cNvPr>
        <xdr:cNvSpPr>
          <a:spLocks noChangeArrowheads="1"/>
        </xdr:cNvSpPr>
      </xdr:nvSpPr>
      <xdr:spPr bwMode="auto">
        <a:xfrm>
          <a:off x="2562225" y="1181100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62</xdr:row>
      <xdr:rowOff>0</xdr:rowOff>
    </xdr:from>
    <xdr:to>
      <xdr:col>4</xdr:col>
      <xdr:colOff>476250</xdr:colOff>
      <xdr:row>63</xdr:row>
      <xdr:rowOff>142875</xdr:rowOff>
    </xdr:to>
    <xdr:sp macro="" textlink="">
      <xdr:nvSpPr>
        <xdr:cNvPr id="16500" name="Rectangle 116" descr="Light upward diagonal">
          <a:extLst>
            <a:ext uri="{FF2B5EF4-FFF2-40B4-BE49-F238E27FC236}">
              <a16:creationId xmlns:a16="http://schemas.microsoft.com/office/drawing/2014/main" id="{00000000-0008-0000-0100-000074400000}"/>
            </a:ext>
          </a:extLst>
        </xdr:cNvPr>
        <xdr:cNvSpPr>
          <a:spLocks noChangeArrowheads="1"/>
        </xdr:cNvSpPr>
      </xdr:nvSpPr>
      <xdr:spPr bwMode="auto">
        <a:xfrm>
          <a:off x="2571750" y="102679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485775</xdr:colOff>
      <xdr:row>52</xdr:row>
      <xdr:rowOff>9525</xdr:rowOff>
    </xdr:from>
    <xdr:to>
      <xdr:col>4</xdr:col>
      <xdr:colOff>561975</xdr:colOff>
      <xdr:row>63</xdr:row>
      <xdr:rowOff>142875</xdr:rowOff>
    </xdr:to>
    <xdr:sp macro="" textlink="">
      <xdr:nvSpPr>
        <xdr:cNvPr id="16501" name="Rectangle 117" descr="Light downward diagonal">
          <a:extLst>
            <a:ext uri="{FF2B5EF4-FFF2-40B4-BE49-F238E27FC236}">
              <a16:creationId xmlns:a16="http://schemas.microsoft.com/office/drawing/2014/main" id="{00000000-0008-0000-0100-000075400000}"/>
            </a:ext>
          </a:extLst>
        </xdr:cNvPr>
        <xdr:cNvSpPr>
          <a:spLocks noChangeArrowheads="1"/>
        </xdr:cNvSpPr>
      </xdr:nvSpPr>
      <xdr:spPr bwMode="auto">
        <a:xfrm>
          <a:off x="2924175" y="8658225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68</xdr:row>
      <xdr:rowOff>19050</xdr:rowOff>
    </xdr:from>
    <xdr:to>
      <xdr:col>4</xdr:col>
      <xdr:colOff>466725</xdr:colOff>
      <xdr:row>70</xdr:row>
      <xdr:rowOff>0</xdr:rowOff>
    </xdr:to>
    <xdr:sp macro="" textlink="">
      <xdr:nvSpPr>
        <xdr:cNvPr id="16502" name="Rectangle 118" descr="Light upward diagonal">
          <a:extLst>
            <a:ext uri="{FF2B5EF4-FFF2-40B4-BE49-F238E27FC236}">
              <a16:creationId xmlns:a16="http://schemas.microsoft.com/office/drawing/2014/main" id="{00000000-0008-0000-0100-000076400000}"/>
            </a:ext>
          </a:extLst>
        </xdr:cNvPr>
        <xdr:cNvSpPr>
          <a:spLocks noChangeArrowheads="1"/>
        </xdr:cNvSpPr>
      </xdr:nvSpPr>
      <xdr:spPr bwMode="auto">
        <a:xfrm>
          <a:off x="2562225" y="114871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52</xdr:row>
      <xdr:rowOff>0</xdr:rowOff>
    </xdr:from>
    <xdr:to>
      <xdr:col>4</xdr:col>
      <xdr:colOff>123825</xdr:colOff>
      <xdr:row>63</xdr:row>
      <xdr:rowOff>133350</xdr:rowOff>
    </xdr:to>
    <xdr:sp macro="" textlink="">
      <xdr:nvSpPr>
        <xdr:cNvPr id="16503" name="Rectangle 119" descr="Light downward diagonal">
          <a:extLst>
            <a:ext uri="{FF2B5EF4-FFF2-40B4-BE49-F238E27FC236}">
              <a16:creationId xmlns:a16="http://schemas.microsoft.com/office/drawing/2014/main" id="{00000000-0008-0000-0100-000077400000}"/>
            </a:ext>
          </a:extLst>
        </xdr:cNvPr>
        <xdr:cNvSpPr>
          <a:spLocks noChangeArrowheads="1"/>
        </xdr:cNvSpPr>
      </xdr:nvSpPr>
      <xdr:spPr bwMode="auto">
        <a:xfrm>
          <a:off x="2486025" y="864870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68</xdr:row>
      <xdr:rowOff>19050</xdr:rowOff>
    </xdr:from>
    <xdr:to>
      <xdr:col>4</xdr:col>
      <xdr:colOff>552450</xdr:colOff>
      <xdr:row>79</xdr:row>
      <xdr:rowOff>152400</xdr:rowOff>
    </xdr:to>
    <xdr:sp macro="" textlink="">
      <xdr:nvSpPr>
        <xdr:cNvPr id="16504" name="Rectangle 120" descr="Light downward diagonal">
          <a:extLst>
            <a:ext uri="{FF2B5EF4-FFF2-40B4-BE49-F238E27FC236}">
              <a16:creationId xmlns:a16="http://schemas.microsoft.com/office/drawing/2014/main" id="{00000000-0008-0000-0100-000078400000}"/>
            </a:ext>
          </a:extLst>
        </xdr:cNvPr>
        <xdr:cNvSpPr>
          <a:spLocks noChangeArrowheads="1"/>
        </xdr:cNvSpPr>
      </xdr:nvSpPr>
      <xdr:spPr bwMode="auto">
        <a:xfrm>
          <a:off x="291465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68</xdr:row>
      <xdr:rowOff>19050</xdr:rowOff>
    </xdr:from>
    <xdr:to>
      <xdr:col>4</xdr:col>
      <xdr:colOff>114300</xdr:colOff>
      <xdr:row>79</xdr:row>
      <xdr:rowOff>152400</xdr:rowOff>
    </xdr:to>
    <xdr:sp macro="" textlink="">
      <xdr:nvSpPr>
        <xdr:cNvPr id="16505" name="Rectangle 121" descr="Light downward diagonal">
          <a:extLst>
            <a:ext uri="{FF2B5EF4-FFF2-40B4-BE49-F238E27FC236}">
              <a16:creationId xmlns:a16="http://schemas.microsoft.com/office/drawing/2014/main" id="{00000000-0008-0000-0100-000079400000}"/>
            </a:ext>
          </a:extLst>
        </xdr:cNvPr>
        <xdr:cNvSpPr>
          <a:spLocks noChangeArrowheads="1"/>
        </xdr:cNvSpPr>
      </xdr:nvSpPr>
      <xdr:spPr bwMode="auto">
        <a:xfrm>
          <a:off x="247650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571500</xdr:colOff>
      <xdr:row>50</xdr:row>
      <xdr:rowOff>142875</xdr:rowOff>
    </xdr:from>
    <xdr:to>
      <xdr:col>5</xdr:col>
      <xdr:colOff>0</xdr:colOff>
      <xdr:row>64</xdr:row>
      <xdr:rowOff>28575</xdr:rowOff>
    </xdr:to>
    <xdr:sp macro="" textlink="">
      <xdr:nvSpPr>
        <xdr:cNvPr id="16506" name="Rectangle 122">
          <a:extLst>
            <a:ext uri="{FF2B5EF4-FFF2-40B4-BE49-F238E27FC236}">
              <a16:creationId xmlns:a16="http://schemas.microsoft.com/office/drawing/2014/main" id="{00000000-0008-0000-0100-00007A400000}"/>
            </a:ext>
          </a:extLst>
        </xdr:cNvPr>
        <xdr:cNvSpPr>
          <a:spLocks noChangeArrowheads="1"/>
        </xdr:cNvSpPr>
      </xdr:nvSpPr>
      <xdr:spPr bwMode="auto">
        <a:xfrm>
          <a:off x="3009900" y="8467725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67</xdr:row>
      <xdr:rowOff>123825</xdr:rowOff>
    </xdr:from>
    <xdr:to>
      <xdr:col>4</xdr:col>
      <xdr:colOff>600075</xdr:colOff>
      <xdr:row>81</xdr:row>
      <xdr:rowOff>9525</xdr:rowOff>
    </xdr:to>
    <xdr:sp macro="" textlink="">
      <xdr:nvSpPr>
        <xdr:cNvPr id="16507" name="Rectangle 123">
          <a:extLst>
            <a:ext uri="{FF2B5EF4-FFF2-40B4-BE49-F238E27FC236}">
              <a16:creationId xmlns:a16="http://schemas.microsoft.com/office/drawing/2014/main" id="{00000000-0008-0000-0100-00007B400000}"/>
            </a:ext>
          </a:extLst>
        </xdr:cNvPr>
        <xdr:cNvSpPr>
          <a:spLocks noChangeArrowheads="1"/>
        </xdr:cNvSpPr>
      </xdr:nvSpPr>
      <xdr:spPr bwMode="auto">
        <a:xfrm>
          <a:off x="3000375" y="11430000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53</xdr:row>
      <xdr:rowOff>0</xdr:rowOff>
    </xdr:from>
    <xdr:to>
      <xdr:col>4</xdr:col>
      <xdr:colOff>19050</xdr:colOff>
      <xdr:row>63</xdr:row>
      <xdr:rowOff>28575</xdr:rowOff>
    </xdr:to>
    <xdr:sp macro="" textlink="">
      <xdr:nvSpPr>
        <xdr:cNvPr id="16508" name="Line 124">
          <a:extLst>
            <a:ext uri="{FF2B5EF4-FFF2-40B4-BE49-F238E27FC236}">
              <a16:creationId xmlns:a16="http://schemas.microsoft.com/office/drawing/2014/main" id="{00000000-0008-0000-0100-00007C400000}"/>
            </a:ext>
          </a:extLst>
        </xdr:cNvPr>
        <xdr:cNvSpPr>
          <a:spLocks noChangeShapeType="1"/>
        </xdr:cNvSpPr>
      </xdr:nvSpPr>
      <xdr:spPr bwMode="auto">
        <a:xfrm flipH="1">
          <a:off x="2457450" y="8810625"/>
          <a:ext cx="0" cy="1647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55</xdr:row>
      <xdr:rowOff>152400</xdr:rowOff>
    </xdr:from>
    <xdr:to>
      <xdr:col>3</xdr:col>
      <xdr:colOff>552450</xdr:colOff>
      <xdr:row>63</xdr:row>
      <xdr:rowOff>142875</xdr:rowOff>
    </xdr:to>
    <xdr:sp macro="" textlink="">
      <xdr:nvSpPr>
        <xdr:cNvPr id="16509" name="Rectangle 125" descr="25%">
          <a:extLst>
            <a:ext uri="{FF2B5EF4-FFF2-40B4-BE49-F238E27FC236}">
              <a16:creationId xmlns:a16="http://schemas.microsoft.com/office/drawing/2014/main" id="{00000000-0008-0000-0100-00007D400000}"/>
            </a:ext>
          </a:extLst>
        </xdr:cNvPr>
        <xdr:cNvSpPr>
          <a:spLocks noChangeArrowheads="1"/>
        </xdr:cNvSpPr>
      </xdr:nvSpPr>
      <xdr:spPr bwMode="auto">
        <a:xfrm>
          <a:off x="2324100" y="9286875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485775</xdr:colOff>
      <xdr:row>68</xdr:row>
      <xdr:rowOff>28575</xdr:rowOff>
    </xdr:from>
    <xdr:to>
      <xdr:col>3</xdr:col>
      <xdr:colOff>542925</xdr:colOff>
      <xdr:row>76</xdr:row>
      <xdr:rowOff>19050</xdr:rowOff>
    </xdr:to>
    <xdr:sp macro="" textlink="">
      <xdr:nvSpPr>
        <xdr:cNvPr id="16510" name="Rectangle 126" descr="25%">
          <a:extLst>
            <a:ext uri="{FF2B5EF4-FFF2-40B4-BE49-F238E27FC236}">
              <a16:creationId xmlns:a16="http://schemas.microsoft.com/office/drawing/2014/main" id="{00000000-0008-0000-0100-00007E400000}"/>
            </a:ext>
          </a:extLst>
        </xdr:cNvPr>
        <xdr:cNvSpPr>
          <a:spLocks noChangeArrowheads="1"/>
        </xdr:cNvSpPr>
      </xdr:nvSpPr>
      <xdr:spPr bwMode="auto">
        <a:xfrm>
          <a:off x="2314575" y="11496675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133350</xdr:colOff>
      <xdr:row>54</xdr:row>
      <xdr:rowOff>0</xdr:rowOff>
    </xdr:from>
    <xdr:to>
      <xdr:col>6</xdr:col>
      <xdr:colOff>476250</xdr:colOff>
      <xdr:row>61</xdr:row>
      <xdr:rowOff>152400</xdr:rowOff>
    </xdr:to>
    <xdr:sp macro="" textlink="">
      <xdr:nvSpPr>
        <xdr:cNvPr id="16511" name="Rectangle 127" descr="Outlined diamond">
          <a:extLst>
            <a:ext uri="{FF2B5EF4-FFF2-40B4-BE49-F238E27FC236}">
              <a16:creationId xmlns:a16="http://schemas.microsoft.com/office/drawing/2014/main" id="{00000000-0008-0000-0100-00007F400000}"/>
            </a:ext>
          </a:extLst>
        </xdr:cNvPr>
        <xdr:cNvSpPr>
          <a:spLocks noChangeArrowheads="1"/>
        </xdr:cNvSpPr>
      </xdr:nvSpPr>
      <xdr:spPr bwMode="auto">
        <a:xfrm>
          <a:off x="3790950" y="897255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70</xdr:row>
      <xdr:rowOff>19050</xdr:rowOff>
    </xdr:from>
    <xdr:to>
      <xdr:col>6</xdr:col>
      <xdr:colOff>466725</xdr:colOff>
      <xdr:row>78</xdr:row>
      <xdr:rowOff>9525</xdr:rowOff>
    </xdr:to>
    <xdr:sp macro="" textlink="">
      <xdr:nvSpPr>
        <xdr:cNvPr id="16512" name="Rectangle 128" descr="Outlined diamond">
          <a:extLst>
            <a:ext uri="{FF2B5EF4-FFF2-40B4-BE49-F238E27FC236}">
              <a16:creationId xmlns:a16="http://schemas.microsoft.com/office/drawing/2014/main" id="{00000000-0008-0000-0100-000080400000}"/>
            </a:ext>
          </a:extLst>
        </xdr:cNvPr>
        <xdr:cNvSpPr>
          <a:spLocks noChangeArrowheads="1"/>
        </xdr:cNvSpPr>
      </xdr:nvSpPr>
      <xdr:spPr bwMode="auto">
        <a:xfrm>
          <a:off x="3781425" y="1181100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133350</xdr:colOff>
      <xdr:row>62</xdr:row>
      <xdr:rowOff>0</xdr:rowOff>
    </xdr:from>
    <xdr:to>
      <xdr:col>6</xdr:col>
      <xdr:colOff>476250</xdr:colOff>
      <xdr:row>63</xdr:row>
      <xdr:rowOff>142875</xdr:rowOff>
    </xdr:to>
    <xdr:sp macro="" textlink="">
      <xdr:nvSpPr>
        <xdr:cNvPr id="16513" name="Rectangle 129" descr="Light upward diagonal">
          <a:extLst>
            <a:ext uri="{FF2B5EF4-FFF2-40B4-BE49-F238E27FC236}">
              <a16:creationId xmlns:a16="http://schemas.microsoft.com/office/drawing/2014/main" id="{00000000-0008-0000-0100-000081400000}"/>
            </a:ext>
          </a:extLst>
        </xdr:cNvPr>
        <xdr:cNvSpPr>
          <a:spLocks noChangeArrowheads="1"/>
        </xdr:cNvSpPr>
      </xdr:nvSpPr>
      <xdr:spPr bwMode="auto">
        <a:xfrm>
          <a:off x="3790950" y="102679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485775</xdr:colOff>
      <xdr:row>52</xdr:row>
      <xdr:rowOff>9525</xdr:rowOff>
    </xdr:from>
    <xdr:to>
      <xdr:col>6</xdr:col>
      <xdr:colOff>561975</xdr:colOff>
      <xdr:row>63</xdr:row>
      <xdr:rowOff>142875</xdr:rowOff>
    </xdr:to>
    <xdr:sp macro="" textlink="">
      <xdr:nvSpPr>
        <xdr:cNvPr id="16514" name="Rectangle 130" descr="Light downward diagonal">
          <a:extLst>
            <a:ext uri="{FF2B5EF4-FFF2-40B4-BE49-F238E27FC236}">
              <a16:creationId xmlns:a16="http://schemas.microsoft.com/office/drawing/2014/main" id="{00000000-0008-0000-0100-000082400000}"/>
            </a:ext>
          </a:extLst>
        </xdr:cNvPr>
        <xdr:cNvSpPr>
          <a:spLocks noChangeArrowheads="1"/>
        </xdr:cNvSpPr>
      </xdr:nvSpPr>
      <xdr:spPr bwMode="auto">
        <a:xfrm>
          <a:off x="4143375" y="8658225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68</xdr:row>
      <xdr:rowOff>19050</xdr:rowOff>
    </xdr:from>
    <xdr:to>
      <xdr:col>6</xdr:col>
      <xdr:colOff>466725</xdr:colOff>
      <xdr:row>70</xdr:row>
      <xdr:rowOff>0</xdr:rowOff>
    </xdr:to>
    <xdr:sp macro="" textlink="">
      <xdr:nvSpPr>
        <xdr:cNvPr id="16515" name="Rectangle 131" descr="Light upward diagonal">
          <a:extLst>
            <a:ext uri="{FF2B5EF4-FFF2-40B4-BE49-F238E27FC236}">
              <a16:creationId xmlns:a16="http://schemas.microsoft.com/office/drawing/2014/main" id="{00000000-0008-0000-0100-000083400000}"/>
            </a:ext>
          </a:extLst>
        </xdr:cNvPr>
        <xdr:cNvSpPr>
          <a:spLocks noChangeArrowheads="1"/>
        </xdr:cNvSpPr>
      </xdr:nvSpPr>
      <xdr:spPr bwMode="auto">
        <a:xfrm>
          <a:off x="3781425" y="114871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52</xdr:row>
      <xdr:rowOff>0</xdr:rowOff>
    </xdr:from>
    <xdr:to>
      <xdr:col>6</xdr:col>
      <xdr:colOff>123825</xdr:colOff>
      <xdr:row>63</xdr:row>
      <xdr:rowOff>133350</xdr:rowOff>
    </xdr:to>
    <xdr:sp macro="" textlink="">
      <xdr:nvSpPr>
        <xdr:cNvPr id="16516" name="Rectangle 132" descr="Light downward diagonal">
          <a:extLst>
            <a:ext uri="{FF2B5EF4-FFF2-40B4-BE49-F238E27FC236}">
              <a16:creationId xmlns:a16="http://schemas.microsoft.com/office/drawing/2014/main" id="{00000000-0008-0000-0100-000084400000}"/>
            </a:ext>
          </a:extLst>
        </xdr:cNvPr>
        <xdr:cNvSpPr>
          <a:spLocks noChangeArrowheads="1"/>
        </xdr:cNvSpPr>
      </xdr:nvSpPr>
      <xdr:spPr bwMode="auto">
        <a:xfrm>
          <a:off x="3705225" y="864870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476250</xdr:colOff>
      <xdr:row>68</xdr:row>
      <xdr:rowOff>19050</xdr:rowOff>
    </xdr:from>
    <xdr:to>
      <xdr:col>6</xdr:col>
      <xdr:colOff>552450</xdr:colOff>
      <xdr:row>79</xdr:row>
      <xdr:rowOff>152400</xdr:rowOff>
    </xdr:to>
    <xdr:sp macro="" textlink="">
      <xdr:nvSpPr>
        <xdr:cNvPr id="16517" name="Rectangle 133" descr="Light downward diagonal">
          <a:extLst>
            <a:ext uri="{FF2B5EF4-FFF2-40B4-BE49-F238E27FC236}">
              <a16:creationId xmlns:a16="http://schemas.microsoft.com/office/drawing/2014/main" id="{00000000-0008-0000-0100-000085400000}"/>
            </a:ext>
          </a:extLst>
        </xdr:cNvPr>
        <xdr:cNvSpPr>
          <a:spLocks noChangeArrowheads="1"/>
        </xdr:cNvSpPr>
      </xdr:nvSpPr>
      <xdr:spPr bwMode="auto">
        <a:xfrm>
          <a:off x="413385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38100</xdr:colOff>
      <xdr:row>68</xdr:row>
      <xdr:rowOff>19050</xdr:rowOff>
    </xdr:from>
    <xdr:to>
      <xdr:col>6</xdr:col>
      <xdr:colOff>114300</xdr:colOff>
      <xdr:row>79</xdr:row>
      <xdr:rowOff>152400</xdr:rowOff>
    </xdr:to>
    <xdr:sp macro="" textlink="">
      <xdr:nvSpPr>
        <xdr:cNvPr id="16518" name="Rectangle 134" descr="Light downward diagonal">
          <a:extLst>
            <a:ext uri="{FF2B5EF4-FFF2-40B4-BE49-F238E27FC236}">
              <a16:creationId xmlns:a16="http://schemas.microsoft.com/office/drawing/2014/main" id="{00000000-0008-0000-0100-000086400000}"/>
            </a:ext>
          </a:extLst>
        </xdr:cNvPr>
        <xdr:cNvSpPr>
          <a:spLocks noChangeArrowheads="1"/>
        </xdr:cNvSpPr>
      </xdr:nvSpPr>
      <xdr:spPr bwMode="auto">
        <a:xfrm>
          <a:off x="369570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571500</xdr:colOff>
      <xdr:row>50</xdr:row>
      <xdr:rowOff>142875</xdr:rowOff>
    </xdr:from>
    <xdr:to>
      <xdr:col>7</xdr:col>
      <xdr:colOff>0</xdr:colOff>
      <xdr:row>64</xdr:row>
      <xdr:rowOff>28575</xdr:rowOff>
    </xdr:to>
    <xdr:sp macro="" textlink="">
      <xdr:nvSpPr>
        <xdr:cNvPr id="16519" name="Rectangle 135">
          <a:extLst>
            <a:ext uri="{FF2B5EF4-FFF2-40B4-BE49-F238E27FC236}">
              <a16:creationId xmlns:a16="http://schemas.microsoft.com/office/drawing/2014/main" id="{00000000-0008-0000-0100-000087400000}"/>
            </a:ext>
          </a:extLst>
        </xdr:cNvPr>
        <xdr:cNvSpPr>
          <a:spLocks noChangeArrowheads="1"/>
        </xdr:cNvSpPr>
      </xdr:nvSpPr>
      <xdr:spPr bwMode="auto">
        <a:xfrm>
          <a:off x="4229100" y="8467725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67</xdr:row>
      <xdr:rowOff>123825</xdr:rowOff>
    </xdr:from>
    <xdr:to>
      <xdr:col>6</xdr:col>
      <xdr:colOff>600075</xdr:colOff>
      <xdr:row>81</xdr:row>
      <xdr:rowOff>9525</xdr:rowOff>
    </xdr:to>
    <xdr:sp macro="" textlink="">
      <xdr:nvSpPr>
        <xdr:cNvPr id="16520" name="Rectangle 136">
          <a:extLst>
            <a:ext uri="{FF2B5EF4-FFF2-40B4-BE49-F238E27FC236}">
              <a16:creationId xmlns:a16="http://schemas.microsoft.com/office/drawing/2014/main" id="{00000000-0008-0000-0100-000088400000}"/>
            </a:ext>
          </a:extLst>
        </xdr:cNvPr>
        <xdr:cNvSpPr>
          <a:spLocks noChangeArrowheads="1"/>
        </xdr:cNvSpPr>
      </xdr:nvSpPr>
      <xdr:spPr bwMode="auto">
        <a:xfrm>
          <a:off x="4219575" y="11430000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53</xdr:row>
      <xdr:rowOff>0</xdr:rowOff>
    </xdr:from>
    <xdr:to>
      <xdr:col>6</xdr:col>
      <xdr:colOff>19050</xdr:colOff>
      <xdr:row>63</xdr:row>
      <xdr:rowOff>28575</xdr:rowOff>
    </xdr:to>
    <xdr:sp macro="" textlink="">
      <xdr:nvSpPr>
        <xdr:cNvPr id="16521" name="Line 137">
          <a:extLst>
            <a:ext uri="{FF2B5EF4-FFF2-40B4-BE49-F238E27FC236}">
              <a16:creationId xmlns:a16="http://schemas.microsoft.com/office/drawing/2014/main" id="{00000000-0008-0000-0100-000089400000}"/>
            </a:ext>
          </a:extLst>
        </xdr:cNvPr>
        <xdr:cNvSpPr>
          <a:spLocks noChangeShapeType="1"/>
        </xdr:cNvSpPr>
      </xdr:nvSpPr>
      <xdr:spPr bwMode="auto">
        <a:xfrm flipH="1">
          <a:off x="3676650" y="8810625"/>
          <a:ext cx="0" cy="1647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55</xdr:row>
      <xdr:rowOff>152400</xdr:rowOff>
    </xdr:from>
    <xdr:to>
      <xdr:col>5</xdr:col>
      <xdr:colOff>552450</xdr:colOff>
      <xdr:row>63</xdr:row>
      <xdr:rowOff>142875</xdr:rowOff>
    </xdr:to>
    <xdr:sp macro="" textlink="">
      <xdr:nvSpPr>
        <xdr:cNvPr id="16522" name="Rectangle 138" descr="25%">
          <a:extLst>
            <a:ext uri="{FF2B5EF4-FFF2-40B4-BE49-F238E27FC236}">
              <a16:creationId xmlns:a16="http://schemas.microsoft.com/office/drawing/2014/main" id="{00000000-0008-0000-0100-00008A400000}"/>
            </a:ext>
          </a:extLst>
        </xdr:cNvPr>
        <xdr:cNvSpPr>
          <a:spLocks noChangeArrowheads="1"/>
        </xdr:cNvSpPr>
      </xdr:nvSpPr>
      <xdr:spPr bwMode="auto">
        <a:xfrm>
          <a:off x="3543300" y="9286875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485775</xdr:colOff>
      <xdr:row>68</xdr:row>
      <xdr:rowOff>28575</xdr:rowOff>
    </xdr:from>
    <xdr:to>
      <xdr:col>5</xdr:col>
      <xdr:colOff>542925</xdr:colOff>
      <xdr:row>76</xdr:row>
      <xdr:rowOff>19050</xdr:rowOff>
    </xdr:to>
    <xdr:sp macro="" textlink="">
      <xdr:nvSpPr>
        <xdr:cNvPr id="16523" name="Rectangle 139" descr="25%">
          <a:extLst>
            <a:ext uri="{FF2B5EF4-FFF2-40B4-BE49-F238E27FC236}">
              <a16:creationId xmlns:a16="http://schemas.microsoft.com/office/drawing/2014/main" id="{00000000-0008-0000-0100-00008B400000}"/>
            </a:ext>
          </a:extLst>
        </xdr:cNvPr>
        <xdr:cNvSpPr>
          <a:spLocks noChangeArrowheads="1"/>
        </xdr:cNvSpPr>
      </xdr:nvSpPr>
      <xdr:spPr bwMode="auto">
        <a:xfrm>
          <a:off x="3533775" y="11496675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133350</xdr:colOff>
      <xdr:row>54</xdr:row>
      <xdr:rowOff>0</xdr:rowOff>
    </xdr:from>
    <xdr:to>
      <xdr:col>8</xdr:col>
      <xdr:colOff>476250</xdr:colOff>
      <xdr:row>61</xdr:row>
      <xdr:rowOff>152400</xdr:rowOff>
    </xdr:to>
    <xdr:sp macro="" textlink="">
      <xdr:nvSpPr>
        <xdr:cNvPr id="16524" name="Rectangle 140" descr="Outlined diamond">
          <a:extLst>
            <a:ext uri="{FF2B5EF4-FFF2-40B4-BE49-F238E27FC236}">
              <a16:creationId xmlns:a16="http://schemas.microsoft.com/office/drawing/2014/main" id="{00000000-0008-0000-0100-00008C400000}"/>
            </a:ext>
          </a:extLst>
        </xdr:cNvPr>
        <xdr:cNvSpPr>
          <a:spLocks noChangeArrowheads="1"/>
        </xdr:cNvSpPr>
      </xdr:nvSpPr>
      <xdr:spPr bwMode="auto">
        <a:xfrm>
          <a:off x="5010150" y="897255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123825</xdr:colOff>
      <xdr:row>70</xdr:row>
      <xdr:rowOff>19050</xdr:rowOff>
    </xdr:from>
    <xdr:to>
      <xdr:col>8</xdr:col>
      <xdr:colOff>466725</xdr:colOff>
      <xdr:row>78</xdr:row>
      <xdr:rowOff>9525</xdr:rowOff>
    </xdr:to>
    <xdr:sp macro="" textlink="">
      <xdr:nvSpPr>
        <xdr:cNvPr id="16525" name="Rectangle 141" descr="Outlined diamond">
          <a:extLst>
            <a:ext uri="{FF2B5EF4-FFF2-40B4-BE49-F238E27FC236}">
              <a16:creationId xmlns:a16="http://schemas.microsoft.com/office/drawing/2014/main" id="{00000000-0008-0000-0100-00008D400000}"/>
            </a:ext>
          </a:extLst>
        </xdr:cNvPr>
        <xdr:cNvSpPr>
          <a:spLocks noChangeArrowheads="1"/>
        </xdr:cNvSpPr>
      </xdr:nvSpPr>
      <xdr:spPr bwMode="auto">
        <a:xfrm>
          <a:off x="5000625" y="1181100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133350</xdr:colOff>
      <xdr:row>62</xdr:row>
      <xdr:rowOff>0</xdr:rowOff>
    </xdr:from>
    <xdr:to>
      <xdr:col>8</xdr:col>
      <xdr:colOff>476250</xdr:colOff>
      <xdr:row>63</xdr:row>
      <xdr:rowOff>142875</xdr:rowOff>
    </xdr:to>
    <xdr:sp macro="" textlink="">
      <xdr:nvSpPr>
        <xdr:cNvPr id="16526" name="Rectangle 142" descr="Light upward diagonal">
          <a:extLst>
            <a:ext uri="{FF2B5EF4-FFF2-40B4-BE49-F238E27FC236}">
              <a16:creationId xmlns:a16="http://schemas.microsoft.com/office/drawing/2014/main" id="{00000000-0008-0000-0100-00008E400000}"/>
            </a:ext>
          </a:extLst>
        </xdr:cNvPr>
        <xdr:cNvSpPr>
          <a:spLocks noChangeArrowheads="1"/>
        </xdr:cNvSpPr>
      </xdr:nvSpPr>
      <xdr:spPr bwMode="auto">
        <a:xfrm>
          <a:off x="5010150" y="102679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485775</xdr:colOff>
      <xdr:row>52</xdr:row>
      <xdr:rowOff>9525</xdr:rowOff>
    </xdr:from>
    <xdr:to>
      <xdr:col>8</xdr:col>
      <xdr:colOff>561975</xdr:colOff>
      <xdr:row>63</xdr:row>
      <xdr:rowOff>142875</xdr:rowOff>
    </xdr:to>
    <xdr:sp macro="" textlink="">
      <xdr:nvSpPr>
        <xdr:cNvPr id="16527" name="Rectangle 143" descr="Light downward diagonal">
          <a:extLst>
            <a:ext uri="{FF2B5EF4-FFF2-40B4-BE49-F238E27FC236}">
              <a16:creationId xmlns:a16="http://schemas.microsoft.com/office/drawing/2014/main" id="{00000000-0008-0000-0100-00008F400000}"/>
            </a:ext>
          </a:extLst>
        </xdr:cNvPr>
        <xdr:cNvSpPr>
          <a:spLocks noChangeArrowheads="1"/>
        </xdr:cNvSpPr>
      </xdr:nvSpPr>
      <xdr:spPr bwMode="auto">
        <a:xfrm>
          <a:off x="5362575" y="8658225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123825</xdr:colOff>
      <xdr:row>68</xdr:row>
      <xdr:rowOff>19050</xdr:rowOff>
    </xdr:from>
    <xdr:to>
      <xdr:col>8</xdr:col>
      <xdr:colOff>466725</xdr:colOff>
      <xdr:row>70</xdr:row>
      <xdr:rowOff>0</xdr:rowOff>
    </xdr:to>
    <xdr:sp macro="" textlink="">
      <xdr:nvSpPr>
        <xdr:cNvPr id="16528" name="Rectangle 144" descr="Light upward diagonal">
          <a:extLst>
            <a:ext uri="{FF2B5EF4-FFF2-40B4-BE49-F238E27FC236}">
              <a16:creationId xmlns:a16="http://schemas.microsoft.com/office/drawing/2014/main" id="{00000000-0008-0000-0100-000090400000}"/>
            </a:ext>
          </a:extLst>
        </xdr:cNvPr>
        <xdr:cNvSpPr>
          <a:spLocks noChangeArrowheads="1"/>
        </xdr:cNvSpPr>
      </xdr:nvSpPr>
      <xdr:spPr bwMode="auto">
        <a:xfrm>
          <a:off x="5000625" y="114871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52</xdr:row>
      <xdr:rowOff>0</xdr:rowOff>
    </xdr:from>
    <xdr:to>
      <xdr:col>8</xdr:col>
      <xdr:colOff>123825</xdr:colOff>
      <xdr:row>63</xdr:row>
      <xdr:rowOff>133350</xdr:rowOff>
    </xdr:to>
    <xdr:sp macro="" textlink="">
      <xdr:nvSpPr>
        <xdr:cNvPr id="16529" name="Rectangle 145" descr="Light downward diagonal">
          <a:extLst>
            <a:ext uri="{FF2B5EF4-FFF2-40B4-BE49-F238E27FC236}">
              <a16:creationId xmlns:a16="http://schemas.microsoft.com/office/drawing/2014/main" id="{00000000-0008-0000-0100-000091400000}"/>
            </a:ext>
          </a:extLst>
        </xdr:cNvPr>
        <xdr:cNvSpPr>
          <a:spLocks noChangeArrowheads="1"/>
        </xdr:cNvSpPr>
      </xdr:nvSpPr>
      <xdr:spPr bwMode="auto">
        <a:xfrm>
          <a:off x="4924425" y="864870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68</xdr:row>
      <xdr:rowOff>19050</xdr:rowOff>
    </xdr:from>
    <xdr:to>
      <xdr:col>8</xdr:col>
      <xdr:colOff>552450</xdr:colOff>
      <xdr:row>79</xdr:row>
      <xdr:rowOff>152400</xdr:rowOff>
    </xdr:to>
    <xdr:sp macro="" textlink="">
      <xdr:nvSpPr>
        <xdr:cNvPr id="16530" name="Rectangle 146" descr="Light downward diagonal">
          <a:extLst>
            <a:ext uri="{FF2B5EF4-FFF2-40B4-BE49-F238E27FC236}">
              <a16:creationId xmlns:a16="http://schemas.microsoft.com/office/drawing/2014/main" id="{00000000-0008-0000-0100-000092400000}"/>
            </a:ext>
          </a:extLst>
        </xdr:cNvPr>
        <xdr:cNvSpPr>
          <a:spLocks noChangeArrowheads="1"/>
        </xdr:cNvSpPr>
      </xdr:nvSpPr>
      <xdr:spPr bwMode="auto">
        <a:xfrm>
          <a:off x="535305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68</xdr:row>
      <xdr:rowOff>19050</xdr:rowOff>
    </xdr:from>
    <xdr:to>
      <xdr:col>8</xdr:col>
      <xdr:colOff>114300</xdr:colOff>
      <xdr:row>79</xdr:row>
      <xdr:rowOff>152400</xdr:rowOff>
    </xdr:to>
    <xdr:sp macro="" textlink="">
      <xdr:nvSpPr>
        <xdr:cNvPr id="16531" name="Rectangle 147" descr="Light downward diagonal">
          <a:extLst>
            <a:ext uri="{FF2B5EF4-FFF2-40B4-BE49-F238E27FC236}">
              <a16:creationId xmlns:a16="http://schemas.microsoft.com/office/drawing/2014/main" id="{00000000-0008-0000-0100-000093400000}"/>
            </a:ext>
          </a:extLst>
        </xdr:cNvPr>
        <xdr:cNvSpPr>
          <a:spLocks noChangeArrowheads="1"/>
        </xdr:cNvSpPr>
      </xdr:nvSpPr>
      <xdr:spPr bwMode="auto">
        <a:xfrm>
          <a:off x="491490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571500</xdr:colOff>
      <xdr:row>50</xdr:row>
      <xdr:rowOff>142875</xdr:rowOff>
    </xdr:from>
    <xdr:to>
      <xdr:col>9</xdr:col>
      <xdr:colOff>0</xdr:colOff>
      <xdr:row>64</xdr:row>
      <xdr:rowOff>28575</xdr:rowOff>
    </xdr:to>
    <xdr:sp macro="" textlink="">
      <xdr:nvSpPr>
        <xdr:cNvPr id="16532" name="Rectangle 148">
          <a:extLst>
            <a:ext uri="{FF2B5EF4-FFF2-40B4-BE49-F238E27FC236}">
              <a16:creationId xmlns:a16="http://schemas.microsoft.com/office/drawing/2014/main" id="{00000000-0008-0000-0100-000094400000}"/>
            </a:ext>
          </a:extLst>
        </xdr:cNvPr>
        <xdr:cNvSpPr>
          <a:spLocks noChangeArrowheads="1"/>
        </xdr:cNvSpPr>
      </xdr:nvSpPr>
      <xdr:spPr bwMode="auto">
        <a:xfrm>
          <a:off x="5448300" y="8467725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67</xdr:row>
      <xdr:rowOff>123825</xdr:rowOff>
    </xdr:from>
    <xdr:to>
      <xdr:col>8</xdr:col>
      <xdr:colOff>600075</xdr:colOff>
      <xdr:row>81</xdr:row>
      <xdr:rowOff>9525</xdr:rowOff>
    </xdr:to>
    <xdr:sp macro="" textlink="">
      <xdr:nvSpPr>
        <xdr:cNvPr id="16533" name="Rectangle 149">
          <a:extLst>
            <a:ext uri="{FF2B5EF4-FFF2-40B4-BE49-F238E27FC236}">
              <a16:creationId xmlns:a16="http://schemas.microsoft.com/office/drawing/2014/main" id="{00000000-0008-0000-0100-000095400000}"/>
            </a:ext>
          </a:extLst>
        </xdr:cNvPr>
        <xdr:cNvSpPr>
          <a:spLocks noChangeArrowheads="1"/>
        </xdr:cNvSpPr>
      </xdr:nvSpPr>
      <xdr:spPr bwMode="auto">
        <a:xfrm>
          <a:off x="5438775" y="11430000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</xdr:colOff>
      <xdr:row>53</xdr:row>
      <xdr:rowOff>0</xdr:rowOff>
    </xdr:from>
    <xdr:to>
      <xdr:col>8</xdr:col>
      <xdr:colOff>19050</xdr:colOff>
      <xdr:row>63</xdr:row>
      <xdr:rowOff>28575</xdr:rowOff>
    </xdr:to>
    <xdr:sp macro="" textlink="">
      <xdr:nvSpPr>
        <xdr:cNvPr id="16534" name="Line 150">
          <a:extLst>
            <a:ext uri="{FF2B5EF4-FFF2-40B4-BE49-F238E27FC236}">
              <a16:creationId xmlns:a16="http://schemas.microsoft.com/office/drawing/2014/main" id="{00000000-0008-0000-0100-000096400000}"/>
            </a:ext>
          </a:extLst>
        </xdr:cNvPr>
        <xdr:cNvSpPr>
          <a:spLocks noChangeShapeType="1"/>
        </xdr:cNvSpPr>
      </xdr:nvSpPr>
      <xdr:spPr bwMode="auto">
        <a:xfrm flipH="1">
          <a:off x="4895850" y="8810625"/>
          <a:ext cx="0" cy="1647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304800</xdr:colOff>
      <xdr:row>50</xdr:row>
      <xdr:rowOff>114300</xdr:rowOff>
    </xdr:from>
    <xdr:to>
      <xdr:col>8</xdr:col>
      <xdr:colOff>438150</xdr:colOff>
      <xdr:row>54</xdr:row>
      <xdr:rowOff>0</xdr:rowOff>
    </xdr:to>
    <xdr:cxnSp macro="">
      <xdr:nvCxnSpPr>
        <xdr:cNvPr id="16535" name="AutoShape 151">
          <a:extLst>
            <a:ext uri="{FF2B5EF4-FFF2-40B4-BE49-F238E27FC236}">
              <a16:creationId xmlns:a16="http://schemas.microsoft.com/office/drawing/2014/main" id="{00000000-0008-0000-0100-000097400000}"/>
            </a:ext>
          </a:extLst>
        </xdr:cNvPr>
        <xdr:cNvCxnSpPr>
          <a:cxnSpLocks noChangeShapeType="1"/>
          <a:stCxn id="16524" idx="0"/>
        </xdr:cNvCxnSpPr>
      </xdr:nvCxnSpPr>
      <xdr:spPr bwMode="auto">
        <a:xfrm rot="16200000">
          <a:off x="4981575" y="8639175"/>
          <a:ext cx="533400" cy="133350"/>
        </a:xfrm>
        <a:prstGeom prst="bentConnector3">
          <a:avLst>
            <a:gd name="adj1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495300</xdr:colOff>
      <xdr:row>55</xdr:row>
      <xdr:rowOff>152400</xdr:rowOff>
    </xdr:from>
    <xdr:to>
      <xdr:col>7</xdr:col>
      <xdr:colOff>552450</xdr:colOff>
      <xdr:row>63</xdr:row>
      <xdr:rowOff>142875</xdr:rowOff>
    </xdr:to>
    <xdr:sp macro="" textlink="">
      <xdr:nvSpPr>
        <xdr:cNvPr id="16536" name="Rectangle 152" descr="25%">
          <a:extLst>
            <a:ext uri="{FF2B5EF4-FFF2-40B4-BE49-F238E27FC236}">
              <a16:creationId xmlns:a16="http://schemas.microsoft.com/office/drawing/2014/main" id="{00000000-0008-0000-0100-000098400000}"/>
            </a:ext>
          </a:extLst>
        </xdr:cNvPr>
        <xdr:cNvSpPr>
          <a:spLocks noChangeArrowheads="1"/>
        </xdr:cNvSpPr>
      </xdr:nvSpPr>
      <xdr:spPr bwMode="auto">
        <a:xfrm>
          <a:off x="4762500" y="9286875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485775</xdr:colOff>
      <xdr:row>68</xdr:row>
      <xdr:rowOff>28575</xdr:rowOff>
    </xdr:from>
    <xdr:to>
      <xdr:col>7</xdr:col>
      <xdr:colOff>542925</xdr:colOff>
      <xdr:row>76</xdr:row>
      <xdr:rowOff>19050</xdr:rowOff>
    </xdr:to>
    <xdr:sp macro="" textlink="">
      <xdr:nvSpPr>
        <xdr:cNvPr id="16537" name="Rectangle 153" descr="25%">
          <a:extLst>
            <a:ext uri="{FF2B5EF4-FFF2-40B4-BE49-F238E27FC236}">
              <a16:creationId xmlns:a16="http://schemas.microsoft.com/office/drawing/2014/main" id="{00000000-0008-0000-0100-000099400000}"/>
            </a:ext>
          </a:extLst>
        </xdr:cNvPr>
        <xdr:cNvSpPr>
          <a:spLocks noChangeArrowheads="1"/>
        </xdr:cNvSpPr>
      </xdr:nvSpPr>
      <xdr:spPr bwMode="auto">
        <a:xfrm>
          <a:off x="4752975" y="11496675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133350</xdr:colOff>
      <xdr:row>54</xdr:row>
      <xdr:rowOff>0</xdr:rowOff>
    </xdr:from>
    <xdr:to>
      <xdr:col>10</xdr:col>
      <xdr:colOff>476250</xdr:colOff>
      <xdr:row>61</xdr:row>
      <xdr:rowOff>152400</xdr:rowOff>
    </xdr:to>
    <xdr:sp macro="" textlink="">
      <xdr:nvSpPr>
        <xdr:cNvPr id="16538" name="Rectangle 154" descr="Outlined diamond">
          <a:extLst>
            <a:ext uri="{FF2B5EF4-FFF2-40B4-BE49-F238E27FC236}">
              <a16:creationId xmlns:a16="http://schemas.microsoft.com/office/drawing/2014/main" id="{00000000-0008-0000-0100-00009A400000}"/>
            </a:ext>
          </a:extLst>
        </xdr:cNvPr>
        <xdr:cNvSpPr>
          <a:spLocks noChangeArrowheads="1"/>
        </xdr:cNvSpPr>
      </xdr:nvSpPr>
      <xdr:spPr bwMode="auto">
        <a:xfrm>
          <a:off x="6229350" y="897255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70</xdr:row>
      <xdr:rowOff>19050</xdr:rowOff>
    </xdr:from>
    <xdr:to>
      <xdr:col>10</xdr:col>
      <xdr:colOff>466725</xdr:colOff>
      <xdr:row>78</xdr:row>
      <xdr:rowOff>9525</xdr:rowOff>
    </xdr:to>
    <xdr:sp macro="" textlink="">
      <xdr:nvSpPr>
        <xdr:cNvPr id="16539" name="Rectangle 155" descr="Outlined diamond">
          <a:extLst>
            <a:ext uri="{FF2B5EF4-FFF2-40B4-BE49-F238E27FC236}">
              <a16:creationId xmlns:a16="http://schemas.microsoft.com/office/drawing/2014/main" id="{00000000-0008-0000-0100-00009B400000}"/>
            </a:ext>
          </a:extLst>
        </xdr:cNvPr>
        <xdr:cNvSpPr>
          <a:spLocks noChangeArrowheads="1"/>
        </xdr:cNvSpPr>
      </xdr:nvSpPr>
      <xdr:spPr bwMode="auto">
        <a:xfrm>
          <a:off x="6219825" y="1181100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133350</xdr:colOff>
      <xdr:row>62</xdr:row>
      <xdr:rowOff>0</xdr:rowOff>
    </xdr:from>
    <xdr:to>
      <xdr:col>10</xdr:col>
      <xdr:colOff>476250</xdr:colOff>
      <xdr:row>63</xdr:row>
      <xdr:rowOff>142875</xdr:rowOff>
    </xdr:to>
    <xdr:sp macro="" textlink="">
      <xdr:nvSpPr>
        <xdr:cNvPr id="16540" name="Rectangle 156" descr="Light upward diagonal">
          <a:extLst>
            <a:ext uri="{FF2B5EF4-FFF2-40B4-BE49-F238E27FC236}">
              <a16:creationId xmlns:a16="http://schemas.microsoft.com/office/drawing/2014/main" id="{00000000-0008-0000-0100-00009C400000}"/>
            </a:ext>
          </a:extLst>
        </xdr:cNvPr>
        <xdr:cNvSpPr>
          <a:spLocks noChangeArrowheads="1"/>
        </xdr:cNvSpPr>
      </xdr:nvSpPr>
      <xdr:spPr bwMode="auto">
        <a:xfrm>
          <a:off x="6229350" y="102679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485775</xdr:colOff>
      <xdr:row>52</xdr:row>
      <xdr:rowOff>9525</xdr:rowOff>
    </xdr:from>
    <xdr:to>
      <xdr:col>10</xdr:col>
      <xdr:colOff>561975</xdr:colOff>
      <xdr:row>63</xdr:row>
      <xdr:rowOff>142875</xdr:rowOff>
    </xdr:to>
    <xdr:sp macro="" textlink="">
      <xdr:nvSpPr>
        <xdr:cNvPr id="16541" name="Rectangle 157" descr="Light downward diagonal">
          <a:extLst>
            <a:ext uri="{FF2B5EF4-FFF2-40B4-BE49-F238E27FC236}">
              <a16:creationId xmlns:a16="http://schemas.microsoft.com/office/drawing/2014/main" id="{00000000-0008-0000-0100-00009D400000}"/>
            </a:ext>
          </a:extLst>
        </xdr:cNvPr>
        <xdr:cNvSpPr>
          <a:spLocks noChangeArrowheads="1"/>
        </xdr:cNvSpPr>
      </xdr:nvSpPr>
      <xdr:spPr bwMode="auto">
        <a:xfrm>
          <a:off x="6581775" y="8658225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68</xdr:row>
      <xdr:rowOff>19050</xdr:rowOff>
    </xdr:from>
    <xdr:to>
      <xdr:col>10</xdr:col>
      <xdr:colOff>466725</xdr:colOff>
      <xdr:row>70</xdr:row>
      <xdr:rowOff>0</xdr:rowOff>
    </xdr:to>
    <xdr:sp macro="" textlink="">
      <xdr:nvSpPr>
        <xdr:cNvPr id="16542" name="Rectangle 158" descr="Light upward diagonal">
          <a:extLst>
            <a:ext uri="{FF2B5EF4-FFF2-40B4-BE49-F238E27FC236}">
              <a16:creationId xmlns:a16="http://schemas.microsoft.com/office/drawing/2014/main" id="{00000000-0008-0000-0100-00009E400000}"/>
            </a:ext>
          </a:extLst>
        </xdr:cNvPr>
        <xdr:cNvSpPr>
          <a:spLocks noChangeArrowheads="1"/>
        </xdr:cNvSpPr>
      </xdr:nvSpPr>
      <xdr:spPr bwMode="auto">
        <a:xfrm>
          <a:off x="6219825" y="114871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</xdr:colOff>
      <xdr:row>52</xdr:row>
      <xdr:rowOff>0</xdr:rowOff>
    </xdr:from>
    <xdr:to>
      <xdr:col>10</xdr:col>
      <xdr:colOff>123825</xdr:colOff>
      <xdr:row>63</xdr:row>
      <xdr:rowOff>133350</xdr:rowOff>
    </xdr:to>
    <xdr:sp macro="" textlink="">
      <xdr:nvSpPr>
        <xdr:cNvPr id="16543" name="Rectangle 159" descr="Light downward diagonal">
          <a:extLst>
            <a:ext uri="{FF2B5EF4-FFF2-40B4-BE49-F238E27FC236}">
              <a16:creationId xmlns:a16="http://schemas.microsoft.com/office/drawing/2014/main" id="{00000000-0008-0000-0100-00009F400000}"/>
            </a:ext>
          </a:extLst>
        </xdr:cNvPr>
        <xdr:cNvSpPr>
          <a:spLocks noChangeArrowheads="1"/>
        </xdr:cNvSpPr>
      </xdr:nvSpPr>
      <xdr:spPr bwMode="auto">
        <a:xfrm>
          <a:off x="6143625" y="864870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476250</xdr:colOff>
      <xdr:row>68</xdr:row>
      <xdr:rowOff>19050</xdr:rowOff>
    </xdr:from>
    <xdr:to>
      <xdr:col>10</xdr:col>
      <xdr:colOff>552450</xdr:colOff>
      <xdr:row>79</xdr:row>
      <xdr:rowOff>152400</xdr:rowOff>
    </xdr:to>
    <xdr:sp macro="" textlink="">
      <xdr:nvSpPr>
        <xdr:cNvPr id="16544" name="Rectangle 160" descr="Light downward diagonal">
          <a:extLst>
            <a:ext uri="{FF2B5EF4-FFF2-40B4-BE49-F238E27FC236}">
              <a16:creationId xmlns:a16="http://schemas.microsoft.com/office/drawing/2014/main" id="{00000000-0008-0000-0100-0000A0400000}"/>
            </a:ext>
          </a:extLst>
        </xdr:cNvPr>
        <xdr:cNvSpPr>
          <a:spLocks noChangeArrowheads="1"/>
        </xdr:cNvSpPr>
      </xdr:nvSpPr>
      <xdr:spPr bwMode="auto">
        <a:xfrm>
          <a:off x="657225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68</xdr:row>
      <xdr:rowOff>19050</xdr:rowOff>
    </xdr:from>
    <xdr:to>
      <xdr:col>10</xdr:col>
      <xdr:colOff>114300</xdr:colOff>
      <xdr:row>79</xdr:row>
      <xdr:rowOff>152400</xdr:rowOff>
    </xdr:to>
    <xdr:sp macro="" textlink="">
      <xdr:nvSpPr>
        <xdr:cNvPr id="16545" name="Rectangle 161" descr="Light downward diagonal">
          <a:extLst>
            <a:ext uri="{FF2B5EF4-FFF2-40B4-BE49-F238E27FC236}">
              <a16:creationId xmlns:a16="http://schemas.microsoft.com/office/drawing/2014/main" id="{00000000-0008-0000-0100-0000A1400000}"/>
            </a:ext>
          </a:extLst>
        </xdr:cNvPr>
        <xdr:cNvSpPr>
          <a:spLocks noChangeArrowheads="1"/>
        </xdr:cNvSpPr>
      </xdr:nvSpPr>
      <xdr:spPr bwMode="auto">
        <a:xfrm>
          <a:off x="613410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571500</xdr:colOff>
      <xdr:row>50</xdr:row>
      <xdr:rowOff>142875</xdr:rowOff>
    </xdr:from>
    <xdr:to>
      <xdr:col>11</xdr:col>
      <xdr:colOff>0</xdr:colOff>
      <xdr:row>64</xdr:row>
      <xdr:rowOff>28575</xdr:rowOff>
    </xdr:to>
    <xdr:sp macro="" textlink="">
      <xdr:nvSpPr>
        <xdr:cNvPr id="16546" name="Rectangle 162">
          <a:extLst>
            <a:ext uri="{FF2B5EF4-FFF2-40B4-BE49-F238E27FC236}">
              <a16:creationId xmlns:a16="http://schemas.microsoft.com/office/drawing/2014/main" id="{00000000-0008-0000-0100-0000A2400000}"/>
            </a:ext>
          </a:extLst>
        </xdr:cNvPr>
        <xdr:cNvSpPr>
          <a:spLocks noChangeArrowheads="1"/>
        </xdr:cNvSpPr>
      </xdr:nvSpPr>
      <xdr:spPr bwMode="auto">
        <a:xfrm>
          <a:off x="6667500" y="8467725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67</xdr:row>
      <xdr:rowOff>123825</xdr:rowOff>
    </xdr:from>
    <xdr:to>
      <xdr:col>10</xdr:col>
      <xdr:colOff>600075</xdr:colOff>
      <xdr:row>81</xdr:row>
      <xdr:rowOff>9525</xdr:rowOff>
    </xdr:to>
    <xdr:sp macro="" textlink="">
      <xdr:nvSpPr>
        <xdr:cNvPr id="16547" name="Rectangle 163">
          <a:extLst>
            <a:ext uri="{FF2B5EF4-FFF2-40B4-BE49-F238E27FC236}">
              <a16:creationId xmlns:a16="http://schemas.microsoft.com/office/drawing/2014/main" id="{00000000-0008-0000-0100-0000A3400000}"/>
            </a:ext>
          </a:extLst>
        </xdr:cNvPr>
        <xdr:cNvSpPr>
          <a:spLocks noChangeArrowheads="1"/>
        </xdr:cNvSpPr>
      </xdr:nvSpPr>
      <xdr:spPr bwMode="auto">
        <a:xfrm>
          <a:off x="6657975" y="11430000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</xdr:colOff>
      <xdr:row>53</xdr:row>
      <xdr:rowOff>0</xdr:rowOff>
    </xdr:from>
    <xdr:to>
      <xdr:col>10</xdr:col>
      <xdr:colOff>19050</xdr:colOff>
      <xdr:row>63</xdr:row>
      <xdr:rowOff>28575</xdr:rowOff>
    </xdr:to>
    <xdr:sp macro="" textlink="">
      <xdr:nvSpPr>
        <xdr:cNvPr id="16548" name="Line 164">
          <a:extLst>
            <a:ext uri="{FF2B5EF4-FFF2-40B4-BE49-F238E27FC236}">
              <a16:creationId xmlns:a16="http://schemas.microsoft.com/office/drawing/2014/main" id="{00000000-0008-0000-0100-0000A4400000}"/>
            </a:ext>
          </a:extLst>
        </xdr:cNvPr>
        <xdr:cNvSpPr>
          <a:spLocks noChangeShapeType="1"/>
        </xdr:cNvSpPr>
      </xdr:nvSpPr>
      <xdr:spPr bwMode="auto">
        <a:xfrm flipH="1">
          <a:off x="6115050" y="8810625"/>
          <a:ext cx="0" cy="1647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304800</xdr:colOff>
      <xdr:row>51</xdr:row>
      <xdr:rowOff>38100</xdr:rowOff>
    </xdr:from>
    <xdr:to>
      <xdr:col>10</xdr:col>
      <xdr:colOff>428625</xdr:colOff>
      <xdr:row>54</xdr:row>
      <xdr:rowOff>0</xdr:rowOff>
    </xdr:to>
    <xdr:cxnSp macro="">
      <xdr:nvCxnSpPr>
        <xdr:cNvPr id="16549" name="AutoShape 165">
          <a:extLst>
            <a:ext uri="{FF2B5EF4-FFF2-40B4-BE49-F238E27FC236}">
              <a16:creationId xmlns:a16="http://schemas.microsoft.com/office/drawing/2014/main" id="{00000000-0008-0000-0100-0000A5400000}"/>
            </a:ext>
          </a:extLst>
        </xdr:cNvPr>
        <xdr:cNvCxnSpPr>
          <a:cxnSpLocks noChangeShapeType="1"/>
          <a:stCxn id="16538" idx="0"/>
        </xdr:cNvCxnSpPr>
      </xdr:nvCxnSpPr>
      <xdr:spPr bwMode="auto">
        <a:xfrm rot="16200000">
          <a:off x="6238875" y="8686800"/>
          <a:ext cx="447675" cy="123825"/>
        </a:xfrm>
        <a:prstGeom prst="bentConnector3">
          <a:avLst>
            <a:gd name="adj1" fmla="val 48935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457200</xdr:colOff>
      <xdr:row>55</xdr:row>
      <xdr:rowOff>142875</xdr:rowOff>
    </xdr:from>
    <xdr:to>
      <xdr:col>9</xdr:col>
      <xdr:colOff>514350</xdr:colOff>
      <xdr:row>63</xdr:row>
      <xdr:rowOff>133350</xdr:rowOff>
    </xdr:to>
    <xdr:sp macro="" textlink="">
      <xdr:nvSpPr>
        <xdr:cNvPr id="16550" name="Rectangle 166" descr="25%">
          <a:extLst>
            <a:ext uri="{FF2B5EF4-FFF2-40B4-BE49-F238E27FC236}">
              <a16:creationId xmlns:a16="http://schemas.microsoft.com/office/drawing/2014/main" id="{00000000-0008-0000-0100-0000A6400000}"/>
            </a:ext>
          </a:extLst>
        </xdr:cNvPr>
        <xdr:cNvSpPr>
          <a:spLocks noChangeArrowheads="1"/>
        </xdr:cNvSpPr>
      </xdr:nvSpPr>
      <xdr:spPr bwMode="auto">
        <a:xfrm>
          <a:off x="5943600" y="9277350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457200</xdr:colOff>
      <xdr:row>68</xdr:row>
      <xdr:rowOff>38100</xdr:rowOff>
    </xdr:from>
    <xdr:to>
      <xdr:col>9</xdr:col>
      <xdr:colOff>514350</xdr:colOff>
      <xdr:row>76</xdr:row>
      <xdr:rowOff>28575</xdr:rowOff>
    </xdr:to>
    <xdr:sp macro="" textlink="">
      <xdr:nvSpPr>
        <xdr:cNvPr id="16551" name="Rectangle 167" descr="25%">
          <a:extLst>
            <a:ext uri="{FF2B5EF4-FFF2-40B4-BE49-F238E27FC236}">
              <a16:creationId xmlns:a16="http://schemas.microsoft.com/office/drawing/2014/main" id="{00000000-0008-0000-0100-0000A7400000}"/>
            </a:ext>
          </a:extLst>
        </xdr:cNvPr>
        <xdr:cNvSpPr>
          <a:spLocks noChangeArrowheads="1"/>
        </xdr:cNvSpPr>
      </xdr:nvSpPr>
      <xdr:spPr bwMode="auto">
        <a:xfrm>
          <a:off x="5943600" y="11506200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133350</xdr:colOff>
      <xdr:row>54</xdr:row>
      <xdr:rowOff>0</xdr:rowOff>
    </xdr:from>
    <xdr:to>
      <xdr:col>12</xdr:col>
      <xdr:colOff>476250</xdr:colOff>
      <xdr:row>61</xdr:row>
      <xdr:rowOff>152400</xdr:rowOff>
    </xdr:to>
    <xdr:sp macro="" textlink="">
      <xdr:nvSpPr>
        <xdr:cNvPr id="16552" name="Rectangle 168" descr="Outlined diamond">
          <a:extLst>
            <a:ext uri="{FF2B5EF4-FFF2-40B4-BE49-F238E27FC236}">
              <a16:creationId xmlns:a16="http://schemas.microsoft.com/office/drawing/2014/main" id="{00000000-0008-0000-0100-0000A8400000}"/>
            </a:ext>
          </a:extLst>
        </xdr:cNvPr>
        <xdr:cNvSpPr>
          <a:spLocks noChangeArrowheads="1"/>
        </xdr:cNvSpPr>
      </xdr:nvSpPr>
      <xdr:spPr bwMode="auto">
        <a:xfrm>
          <a:off x="7448550" y="897255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123825</xdr:colOff>
      <xdr:row>70</xdr:row>
      <xdr:rowOff>19050</xdr:rowOff>
    </xdr:from>
    <xdr:to>
      <xdr:col>12</xdr:col>
      <xdr:colOff>466725</xdr:colOff>
      <xdr:row>78</xdr:row>
      <xdr:rowOff>9525</xdr:rowOff>
    </xdr:to>
    <xdr:sp macro="" textlink="">
      <xdr:nvSpPr>
        <xdr:cNvPr id="16553" name="Rectangle 169" descr="Outlined diamond">
          <a:extLst>
            <a:ext uri="{FF2B5EF4-FFF2-40B4-BE49-F238E27FC236}">
              <a16:creationId xmlns:a16="http://schemas.microsoft.com/office/drawing/2014/main" id="{00000000-0008-0000-0100-0000A9400000}"/>
            </a:ext>
          </a:extLst>
        </xdr:cNvPr>
        <xdr:cNvSpPr>
          <a:spLocks noChangeArrowheads="1"/>
        </xdr:cNvSpPr>
      </xdr:nvSpPr>
      <xdr:spPr bwMode="auto">
        <a:xfrm>
          <a:off x="7439025" y="11811000"/>
          <a:ext cx="342900" cy="1285875"/>
        </a:xfrm>
        <a:prstGeom prst="rect">
          <a:avLst/>
        </a:prstGeom>
        <a:pattFill prst="openDmnd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val="FFFFFF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133350</xdr:colOff>
      <xdr:row>62</xdr:row>
      <xdr:rowOff>0</xdr:rowOff>
    </xdr:from>
    <xdr:to>
      <xdr:col>12</xdr:col>
      <xdr:colOff>476250</xdr:colOff>
      <xdr:row>63</xdr:row>
      <xdr:rowOff>142875</xdr:rowOff>
    </xdr:to>
    <xdr:sp macro="" textlink="">
      <xdr:nvSpPr>
        <xdr:cNvPr id="16554" name="Rectangle 170" descr="Light upward diagonal">
          <a:extLst>
            <a:ext uri="{FF2B5EF4-FFF2-40B4-BE49-F238E27FC236}">
              <a16:creationId xmlns:a16="http://schemas.microsoft.com/office/drawing/2014/main" id="{00000000-0008-0000-0100-0000AA400000}"/>
            </a:ext>
          </a:extLst>
        </xdr:cNvPr>
        <xdr:cNvSpPr>
          <a:spLocks noChangeArrowheads="1"/>
        </xdr:cNvSpPr>
      </xdr:nvSpPr>
      <xdr:spPr bwMode="auto">
        <a:xfrm>
          <a:off x="7448550" y="102679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485775</xdr:colOff>
      <xdr:row>52</xdr:row>
      <xdr:rowOff>9525</xdr:rowOff>
    </xdr:from>
    <xdr:to>
      <xdr:col>12</xdr:col>
      <xdr:colOff>561975</xdr:colOff>
      <xdr:row>63</xdr:row>
      <xdr:rowOff>142875</xdr:rowOff>
    </xdr:to>
    <xdr:sp macro="" textlink="">
      <xdr:nvSpPr>
        <xdr:cNvPr id="16555" name="Rectangle 171" descr="Light downward diagonal">
          <a:extLst>
            <a:ext uri="{FF2B5EF4-FFF2-40B4-BE49-F238E27FC236}">
              <a16:creationId xmlns:a16="http://schemas.microsoft.com/office/drawing/2014/main" id="{00000000-0008-0000-0100-0000AB400000}"/>
            </a:ext>
          </a:extLst>
        </xdr:cNvPr>
        <xdr:cNvSpPr>
          <a:spLocks noChangeArrowheads="1"/>
        </xdr:cNvSpPr>
      </xdr:nvSpPr>
      <xdr:spPr bwMode="auto">
        <a:xfrm>
          <a:off x="7800975" y="8658225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123825</xdr:colOff>
      <xdr:row>68</xdr:row>
      <xdr:rowOff>19050</xdr:rowOff>
    </xdr:from>
    <xdr:to>
      <xdr:col>12</xdr:col>
      <xdr:colOff>466725</xdr:colOff>
      <xdr:row>70</xdr:row>
      <xdr:rowOff>0</xdr:rowOff>
    </xdr:to>
    <xdr:sp macro="" textlink="">
      <xdr:nvSpPr>
        <xdr:cNvPr id="16556" name="Rectangle 172" descr="Light upward diagonal">
          <a:extLst>
            <a:ext uri="{FF2B5EF4-FFF2-40B4-BE49-F238E27FC236}">
              <a16:creationId xmlns:a16="http://schemas.microsoft.com/office/drawing/2014/main" id="{00000000-0008-0000-0100-0000AC400000}"/>
            </a:ext>
          </a:extLst>
        </xdr:cNvPr>
        <xdr:cNvSpPr>
          <a:spLocks noChangeArrowheads="1"/>
        </xdr:cNvSpPr>
      </xdr:nvSpPr>
      <xdr:spPr bwMode="auto">
        <a:xfrm>
          <a:off x="7439025" y="11487150"/>
          <a:ext cx="342900" cy="30480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47625</xdr:colOff>
      <xdr:row>52</xdr:row>
      <xdr:rowOff>0</xdr:rowOff>
    </xdr:from>
    <xdr:to>
      <xdr:col>12</xdr:col>
      <xdr:colOff>123825</xdr:colOff>
      <xdr:row>63</xdr:row>
      <xdr:rowOff>133350</xdr:rowOff>
    </xdr:to>
    <xdr:sp macro="" textlink="">
      <xdr:nvSpPr>
        <xdr:cNvPr id="16557" name="Rectangle 173" descr="Light downward diagonal">
          <a:extLst>
            <a:ext uri="{FF2B5EF4-FFF2-40B4-BE49-F238E27FC236}">
              <a16:creationId xmlns:a16="http://schemas.microsoft.com/office/drawing/2014/main" id="{00000000-0008-0000-0100-0000AD400000}"/>
            </a:ext>
          </a:extLst>
        </xdr:cNvPr>
        <xdr:cNvSpPr>
          <a:spLocks noChangeArrowheads="1"/>
        </xdr:cNvSpPr>
      </xdr:nvSpPr>
      <xdr:spPr bwMode="auto">
        <a:xfrm>
          <a:off x="7362825" y="864870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476250</xdr:colOff>
      <xdr:row>68</xdr:row>
      <xdr:rowOff>19050</xdr:rowOff>
    </xdr:from>
    <xdr:to>
      <xdr:col>12</xdr:col>
      <xdr:colOff>552450</xdr:colOff>
      <xdr:row>79</xdr:row>
      <xdr:rowOff>152400</xdr:rowOff>
    </xdr:to>
    <xdr:sp macro="" textlink="">
      <xdr:nvSpPr>
        <xdr:cNvPr id="16558" name="Rectangle 174" descr="Light downward diagonal">
          <a:extLst>
            <a:ext uri="{FF2B5EF4-FFF2-40B4-BE49-F238E27FC236}">
              <a16:creationId xmlns:a16="http://schemas.microsoft.com/office/drawing/2014/main" id="{00000000-0008-0000-0100-0000AE400000}"/>
            </a:ext>
          </a:extLst>
        </xdr:cNvPr>
        <xdr:cNvSpPr>
          <a:spLocks noChangeArrowheads="1"/>
        </xdr:cNvSpPr>
      </xdr:nvSpPr>
      <xdr:spPr bwMode="auto">
        <a:xfrm>
          <a:off x="779145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38100</xdr:colOff>
      <xdr:row>68</xdr:row>
      <xdr:rowOff>19050</xdr:rowOff>
    </xdr:from>
    <xdr:to>
      <xdr:col>12</xdr:col>
      <xdr:colOff>114300</xdr:colOff>
      <xdr:row>79</xdr:row>
      <xdr:rowOff>152400</xdr:rowOff>
    </xdr:to>
    <xdr:sp macro="" textlink="">
      <xdr:nvSpPr>
        <xdr:cNvPr id="16559" name="Rectangle 175" descr="Light downward diagonal">
          <a:extLst>
            <a:ext uri="{FF2B5EF4-FFF2-40B4-BE49-F238E27FC236}">
              <a16:creationId xmlns:a16="http://schemas.microsoft.com/office/drawing/2014/main" id="{00000000-0008-0000-0100-0000AF400000}"/>
            </a:ext>
          </a:extLst>
        </xdr:cNvPr>
        <xdr:cNvSpPr>
          <a:spLocks noChangeArrowheads="1"/>
        </xdr:cNvSpPr>
      </xdr:nvSpPr>
      <xdr:spPr bwMode="auto">
        <a:xfrm>
          <a:off x="7353300" y="11487150"/>
          <a:ext cx="76200" cy="1914525"/>
        </a:xfrm>
        <a:prstGeom prst="rect">
          <a:avLst/>
        </a:prstGeom>
        <a:pattFill prst="ltDnDiag">
          <a:fgClr>
            <a:srgbClr val="0000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571500</xdr:colOff>
      <xdr:row>50</xdr:row>
      <xdr:rowOff>142875</xdr:rowOff>
    </xdr:from>
    <xdr:to>
      <xdr:col>13</xdr:col>
      <xdr:colOff>0</xdr:colOff>
      <xdr:row>64</xdr:row>
      <xdr:rowOff>28575</xdr:rowOff>
    </xdr:to>
    <xdr:sp macro="" textlink="">
      <xdr:nvSpPr>
        <xdr:cNvPr id="16560" name="Rectangle 176">
          <a:extLst>
            <a:ext uri="{FF2B5EF4-FFF2-40B4-BE49-F238E27FC236}">
              <a16:creationId xmlns:a16="http://schemas.microsoft.com/office/drawing/2014/main" id="{00000000-0008-0000-0100-0000B0400000}"/>
            </a:ext>
          </a:extLst>
        </xdr:cNvPr>
        <xdr:cNvSpPr>
          <a:spLocks noChangeArrowheads="1"/>
        </xdr:cNvSpPr>
      </xdr:nvSpPr>
      <xdr:spPr bwMode="auto">
        <a:xfrm>
          <a:off x="7886700" y="8467725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67</xdr:row>
      <xdr:rowOff>123825</xdr:rowOff>
    </xdr:from>
    <xdr:to>
      <xdr:col>12</xdr:col>
      <xdr:colOff>600075</xdr:colOff>
      <xdr:row>81</xdr:row>
      <xdr:rowOff>9525</xdr:rowOff>
    </xdr:to>
    <xdr:sp macro="" textlink="">
      <xdr:nvSpPr>
        <xdr:cNvPr id="16561" name="Rectangle 177">
          <a:extLst>
            <a:ext uri="{FF2B5EF4-FFF2-40B4-BE49-F238E27FC236}">
              <a16:creationId xmlns:a16="http://schemas.microsoft.com/office/drawing/2014/main" id="{00000000-0008-0000-0100-0000B1400000}"/>
            </a:ext>
          </a:extLst>
        </xdr:cNvPr>
        <xdr:cNvSpPr>
          <a:spLocks noChangeArrowheads="1"/>
        </xdr:cNvSpPr>
      </xdr:nvSpPr>
      <xdr:spPr bwMode="auto">
        <a:xfrm>
          <a:off x="7877175" y="11430000"/>
          <a:ext cx="38100" cy="21526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53</xdr:row>
      <xdr:rowOff>0</xdr:rowOff>
    </xdr:from>
    <xdr:to>
      <xdr:col>12</xdr:col>
      <xdr:colOff>19050</xdr:colOff>
      <xdr:row>63</xdr:row>
      <xdr:rowOff>28575</xdr:rowOff>
    </xdr:to>
    <xdr:sp macro="" textlink="">
      <xdr:nvSpPr>
        <xdr:cNvPr id="16562" name="Line 178">
          <a:extLst>
            <a:ext uri="{FF2B5EF4-FFF2-40B4-BE49-F238E27FC236}">
              <a16:creationId xmlns:a16="http://schemas.microsoft.com/office/drawing/2014/main" id="{00000000-0008-0000-0100-0000B2400000}"/>
            </a:ext>
          </a:extLst>
        </xdr:cNvPr>
        <xdr:cNvSpPr>
          <a:spLocks noChangeShapeType="1"/>
        </xdr:cNvSpPr>
      </xdr:nvSpPr>
      <xdr:spPr bwMode="auto">
        <a:xfrm flipH="1">
          <a:off x="7334250" y="8810625"/>
          <a:ext cx="0" cy="16478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304800</xdr:colOff>
      <xdr:row>51</xdr:row>
      <xdr:rowOff>28575</xdr:rowOff>
    </xdr:from>
    <xdr:to>
      <xdr:col>12</xdr:col>
      <xdr:colOff>381000</xdr:colOff>
      <xdr:row>54</xdr:row>
      <xdr:rowOff>0</xdr:rowOff>
    </xdr:to>
    <xdr:cxnSp macro="">
      <xdr:nvCxnSpPr>
        <xdr:cNvPr id="16563" name="AutoShape 179">
          <a:extLst>
            <a:ext uri="{FF2B5EF4-FFF2-40B4-BE49-F238E27FC236}">
              <a16:creationId xmlns:a16="http://schemas.microsoft.com/office/drawing/2014/main" id="{00000000-0008-0000-0100-0000B3400000}"/>
            </a:ext>
          </a:extLst>
        </xdr:cNvPr>
        <xdr:cNvCxnSpPr>
          <a:cxnSpLocks noChangeShapeType="1"/>
          <a:stCxn id="16552" idx="0"/>
        </xdr:cNvCxnSpPr>
      </xdr:nvCxnSpPr>
      <xdr:spPr bwMode="auto">
        <a:xfrm rot="16200000">
          <a:off x="7429500" y="8705850"/>
          <a:ext cx="457200" cy="76200"/>
        </a:xfrm>
        <a:prstGeom prst="bentConnector3">
          <a:avLst>
            <a:gd name="adj1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447675</xdr:colOff>
      <xdr:row>56</xdr:row>
      <xdr:rowOff>9525</xdr:rowOff>
    </xdr:from>
    <xdr:to>
      <xdr:col>11</xdr:col>
      <xdr:colOff>504825</xdr:colOff>
      <xdr:row>64</xdr:row>
      <xdr:rowOff>0</xdr:rowOff>
    </xdr:to>
    <xdr:sp macro="" textlink="">
      <xdr:nvSpPr>
        <xdr:cNvPr id="16564" name="Rectangle 180" descr="25%">
          <a:extLst>
            <a:ext uri="{FF2B5EF4-FFF2-40B4-BE49-F238E27FC236}">
              <a16:creationId xmlns:a16="http://schemas.microsoft.com/office/drawing/2014/main" id="{00000000-0008-0000-0100-0000B4400000}"/>
            </a:ext>
          </a:extLst>
        </xdr:cNvPr>
        <xdr:cNvSpPr>
          <a:spLocks noChangeArrowheads="1"/>
        </xdr:cNvSpPr>
      </xdr:nvSpPr>
      <xdr:spPr bwMode="auto">
        <a:xfrm>
          <a:off x="7153275" y="9305925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476250</xdr:colOff>
      <xdr:row>68</xdr:row>
      <xdr:rowOff>38100</xdr:rowOff>
    </xdr:from>
    <xdr:to>
      <xdr:col>11</xdr:col>
      <xdr:colOff>533400</xdr:colOff>
      <xdr:row>76</xdr:row>
      <xdr:rowOff>28575</xdr:rowOff>
    </xdr:to>
    <xdr:sp macro="" textlink="">
      <xdr:nvSpPr>
        <xdr:cNvPr id="16565" name="Rectangle 181" descr="25%">
          <a:extLst>
            <a:ext uri="{FF2B5EF4-FFF2-40B4-BE49-F238E27FC236}">
              <a16:creationId xmlns:a16="http://schemas.microsoft.com/office/drawing/2014/main" id="{00000000-0008-0000-0100-0000B5400000}"/>
            </a:ext>
          </a:extLst>
        </xdr:cNvPr>
        <xdr:cNvSpPr>
          <a:spLocks noChangeArrowheads="1"/>
        </xdr:cNvSpPr>
      </xdr:nvSpPr>
      <xdr:spPr bwMode="auto">
        <a:xfrm>
          <a:off x="7181850" y="11506200"/>
          <a:ext cx="57150" cy="1285875"/>
        </a:xfrm>
        <a:prstGeom prst="rect">
          <a:avLst/>
        </a:prstGeom>
        <a:pattFill prst="pct25">
          <a:fgClr>
            <a:srgbClr val="000000"/>
          </a:fgClr>
          <a:bgClr>
            <a:srgbClr val="FFFFFF"/>
          </a:bgClr>
        </a:patt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600075</xdr:colOff>
      <xdr:row>64</xdr:row>
      <xdr:rowOff>47625</xdr:rowOff>
    </xdr:from>
    <xdr:to>
      <xdr:col>13</xdr:col>
      <xdr:colOff>590550</xdr:colOff>
      <xdr:row>67</xdr:row>
      <xdr:rowOff>123825</xdr:rowOff>
    </xdr:to>
    <xdr:sp macro="" textlink="">
      <xdr:nvSpPr>
        <xdr:cNvPr id="16566" name="Rectangle 182">
          <a:extLst>
            <a:ext uri="{FF2B5EF4-FFF2-40B4-BE49-F238E27FC236}">
              <a16:creationId xmlns:a16="http://schemas.microsoft.com/office/drawing/2014/main" id="{00000000-0008-0000-0100-0000B6400000}"/>
            </a:ext>
          </a:extLst>
        </xdr:cNvPr>
        <xdr:cNvSpPr>
          <a:spLocks noChangeArrowheads="1"/>
        </xdr:cNvSpPr>
      </xdr:nvSpPr>
      <xdr:spPr bwMode="auto">
        <a:xfrm>
          <a:off x="1819275" y="10639425"/>
          <a:ext cx="6696075" cy="7905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61</xdr:row>
      <xdr:rowOff>85725</xdr:rowOff>
    </xdr:from>
    <xdr:to>
      <xdr:col>4</xdr:col>
      <xdr:colOff>123825</xdr:colOff>
      <xdr:row>62</xdr:row>
      <xdr:rowOff>47625</xdr:rowOff>
    </xdr:to>
    <xdr:sp macro="" textlink="">
      <xdr:nvSpPr>
        <xdr:cNvPr id="16567" name="Rectangle 183">
          <a:extLst>
            <a:ext uri="{FF2B5EF4-FFF2-40B4-BE49-F238E27FC236}">
              <a16:creationId xmlns:a16="http://schemas.microsoft.com/office/drawing/2014/main" id="{00000000-0008-0000-0100-0000B7400000}"/>
            </a:ext>
          </a:extLst>
        </xdr:cNvPr>
        <xdr:cNvSpPr>
          <a:spLocks noChangeArrowheads="1"/>
        </xdr:cNvSpPr>
      </xdr:nvSpPr>
      <xdr:spPr bwMode="auto">
        <a:xfrm>
          <a:off x="2486025" y="1019175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590550</xdr:colOff>
      <xdr:row>50</xdr:row>
      <xdr:rowOff>133350</xdr:rowOff>
    </xdr:from>
    <xdr:to>
      <xdr:col>4</xdr:col>
      <xdr:colOff>304800</xdr:colOff>
      <xdr:row>62</xdr:row>
      <xdr:rowOff>0</xdr:rowOff>
    </xdr:to>
    <xdr:cxnSp macro="">
      <xdr:nvCxnSpPr>
        <xdr:cNvPr id="16568" name="AutoShape 184">
          <a:extLst>
            <a:ext uri="{FF2B5EF4-FFF2-40B4-BE49-F238E27FC236}">
              <a16:creationId xmlns:a16="http://schemas.microsoft.com/office/drawing/2014/main" id="{00000000-0008-0000-0100-0000B8400000}"/>
            </a:ext>
          </a:extLst>
        </xdr:cNvPr>
        <xdr:cNvCxnSpPr>
          <a:cxnSpLocks noChangeShapeType="1"/>
          <a:endCxn id="16500" idx="0"/>
        </xdr:cNvCxnSpPr>
      </xdr:nvCxnSpPr>
      <xdr:spPr bwMode="auto">
        <a:xfrm rot="16200000" flipH="1">
          <a:off x="1676400" y="9201150"/>
          <a:ext cx="1809750" cy="323850"/>
        </a:xfrm>
        <a:prstGeom prst="bentConnector3">
          <a:avLst>
            <a:gd name="adj1" fmla="val 99472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47625</xdr:colOff>
      <xdr:row>61</xdr:row>
      <xdr:rowOff>85725</xdr:rowOff>
    </xdr:from>
    <xdr:to>
      <xdr:col>6</xdr:col>
      <xdr:colOff>123825</xdr:colOff>
      <xdr:row>62</xdr:row>
      <xdr:rowOff>47625</xdr:rowOff>
    </xdr:to>
    <xdr:sp macro="" textlink="">
      <xdr:nvSpPr>
        <xdr:cNvPr id="16569" name="Rectangle 185">
          <a:extLst>
            <a:ext uri="{FF2B5EF4-FFF2-40B4-BE49-F238E27FC236}">
              <a16:creationId xmlns:a16="http://schemas.microsoft.com/office/drawing/2014/main" id="{00000000-0008-0000-0100-0000B9400000}"/>
            </a:ext>
          </a:extLst>
        </xdr:cNvPr>
        <xdr:cNvSpPr>
          <a:spLocks noChangeArrowheads="1"/>
        </xdr:cNvSpPr>
      </xdr:nvSpPr>
      <xdr:spPr bwMode="auto">
        <a:xfrm>
          <a:off x="3705225" y="1019175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485775</xdr:colOff>
      <xdr:row>53</xdr:row>
      <xdr:rowOff>104775</xdr:rowOff>
    </xdr:from>
    <xdr:to>
      <xdr:col>4</xdr:col>
      <xdr:colOff>561975</xdr:colOff>
      <xdr:row>54</xdr:row>
      <xdr:rowOff>66675</xdr:rowOff>
    </xdr:to>
    <xdr:sp macro="" textlink="">
      <xdr:nvSpPr>
        <xdr:cNvPr id="16570" name="Rectangle 186">
          <a:extLst>
            <a:ext uri="{FF2B5EF4-FFF2-40B4-BE49-F238E27FC236}">
              <a16:creationId xmlns:a16="http://schemas.microsoft.com/office/drawing/2014/main" id="{00000000-0008-0000-0100-0000BA400000}"/>
            </a:ext>
          </a:extLst>
        </xdr:cNvPr>
        <xdr:cNvSpPr>
          <a:spLocks noChangeArrowheads="1"/>
        </xdr:cNvSpPr>
      </xdr:nvSpPr>
      <xdr:spPr bwMode="auto">
        <a:xfrm>
          <a:off x="2924175" y="891540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495300</xdr:colOff>
      <xdr:row>53</xdr:row>
      <xdr:rowOff>85725</xdr:rowOff>
    </xdr:from>
    <xdr:to>
      <xdr:col>6</xdr:col>
      <xdr:colOff>571500</xdr:colOff>
      <xdr:row>54</xdr:row>
      <xdr:rowOff>47625</xdr:rowOff>
    </xdr:to>
    <xdr:sp macro="" textlink="">
      <xdr:nvSpPr>
        <xdr:cNvPr id="16571" name="Rectangle 187">
          <a:extLst>
            <a:ext uri="{FF2B5EF4-FFF2-40B4-BE49-F238E27FC236}">
              <a16:creationId xmlns:a16="http://schemas.microsoft.com/office/drawing/2014/main" id="{00000000-0008-0000-0100-0000BB400000}"/>
            </a:ext>
          </a:extLst>
        </xdr:cNvPr>
        <xdr:cNvSpPr>
          <a:spLocks noChangeArrowheads="1"/>
        </xdr:cNvSpPr>
      </xdr:nvSpPr>
      <xdr:spPr bwMode="auto">
        <a:xfrm>
          <a:off x="4152900" y="889635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57150</xdr:colOff>
      <xdr:row>61</xdr:row>
      <xdr:rowOff>66675</xdr:rowOff>
    </xdr:from>
    <xdr:to>
      <xdr:col>8</xdr:col>
      <xdr:colOff>133350</xdr:colOff>
      <xdr:row>62</xdr:row>
      <xdr:rowOff>28575</xdr:rowOff>
    </xdr:to>
    <xdr:sp macro="" textlink="">
      <xdr:nvSpPr>
        <xdr:cNvPr id="16572" name="Rectangle 188">
          <a:extLst>
            <a:ext uri="{FF2B5EF4-FFF2-40B4-BE49-F238E27FC236}">
              <a16:creationId xmlns:a16="http://schemas.microsoft.com/office/drawing/2014/main" id="{00000000-0008-0000-0100-0000BC400000}"/>
            </a:ext>
          </a:extLst>
        </xdr:cNvPr>
        <xdr:cNvSpPr>
          <a:spLocks noChangeArrowheads="1"/>
        </xdr:cNvSpPr>
      </xdr:nvSpPr>
      <xdr:spPr bwMode="auto">
        <a:xfrm>
          <a:off x="4933950" y="1017270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495300</xdr:colOff>
      <xdr:row>53</xdr:row>
      <xdr:rowOff>114300</xdr:rowOff>
    </xdr:from>
    <xdr:to>
      <xdr:col>8</xdr:col>
      <xdr:colOff>571500</xdr:colOff>
      <xdr:row>54</xdr:row>
      <xdr:rowOff>76200</xdr:rowOff>
    </xdr:to>
    <xdr:sp macro="" textlink="">
      <xdr:nvSpPr>
        <xdr:cNvPr id="16573" name="Rectangle 189">
          <a:extLst>
            <a:ext uri="{FF2B5EF4-FFF2-40B4-BE49-F238E27FC236}">
              <a16:creationId xmlns:a16="http://schemas.microsoft.com/office/drawing/2014/main" id="{00000000-0008-0000-0100-0000BD400000}"/>
            </a:ext>
          </a:extLst>
        </xdr:cNvPr>
        <xdr:cNvSpPr>
          <a:spLocks noChangeArrowheads="1"/>
        </xdr:cNvSpPr>
      </xdr:nvSpPr>
      <xdr:spPr bwMode="auto">
        <a:xfrm>
          <a:off x="5372100" y="8924925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</xdr:colOff>
      <xdr:row>61</xdr:row>
      <xdr:rowOff>85725</xdr:rowOff>
    </xdr:from>
    <xdr:to>
      <xdr:col>10</xdr:col>
      <xdr:colOff>123825</xdr:colOff>
      <xdr:row>62</xdr:row>
      <xdr:rowOff>47625</xdr:rowOff>
    </xdr:to>
    <xdr:sp macro="" textlink="">
      <xdr:nvSpPr>
        <xdr:cNvPr id="16574" name="Rectangle 190">
          <a:extLst>
            <a:ext uri="{FF2B5EF4-FFF2-40B4-BE49-F238E27FC236}">
              <a16:creationId xmlns:a16="http://schemas.microsoft.com/office/drawing/2014/main" id="{00000000-0008-0000-0100-0000BE400000}"/>
            </a:ext>
          </a:extLst>
        </xdr:cNvPr>
        <xdr:cNvSpPr>
          <a:spLocks noChangeArrowheads="1"/>
        </xdr:cNvSpPr>
      </xdr:nvSpPr>
      <xdr:spPr bwMode="auto">
        <a:xfrm>
          <a:off x="6143625" y="1019175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57150</xdr:colOff>
      <xdr:row>61</xdr:row>
      <xdr:rowOff>66675</xdr:rowOff>
    </xdr:from>
    <xdr:to>
      <xdr:col>12</xdr:col>
      <xdr:colOff>133350</xdr:colOff>
      <xdr:row>62</xdr:row>
      <xdr:rowOff>28575</xdr:rowOff>
    </xdr:to>
    <xdr:sp macro="" textlink="">
      <xdr:nvSpPr>
        <xdr:cNvPr id="16575" name="Rectangle 191">
          <a:extLst>
            <a:ext uri="{FF2B5EF4-FFF2-40B4-BE49-F238E27FC236}">
              <a16:creationId xmlns:a16="http://schemas.microsoft.com/office/drawing/2014/main" id="{00000000-0008-0000-0100-0000BF400000}"/>
            </a:ext>
          </a:extLst>
        </xdr:cNvPr>
        <xdr:cNvSpPr>
          <a:spLocks noChangeArrowheads="1"/>
        </xdr:cNvSpPr>
      </xdr:nvSpPr>
      <xdr:spPr bwMode="auto">
        <a:xfrm>
          <a:off x="7372350" y="1017270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485775</xdr:colOff>
      <xdr:row>53</xdr:row>
      <xdr:rowOff>104775</xdr:rowOff>
    </xdr:from>
    <xdr:to>
      <xdr:col>10</xdr:col>
      <xdr:colOff>561975</xdr:colOff>
      <xdr:row>54</xdr:row>
      <xdr:rowOff>66675</xdr:rowOff>
    </xdr:to>
    <xdr:sp macro="" textlink="">
      <xdr:nvSpPr>
        <xdr:cNvPr id="16576" name="Rectangle 192">
          <a:extLst>
            <a:ext uri="{FF2B5EF4-FFF2-40B4-BE49-F238E27FC236}">
              <a16:creationId xmlns:a16="http://schemas.microsoft.com/office/drawing/2014/main" id="{00000000-0008-0000-0100-0000C0400000}"/>
            </a:ext>
          </a:extLst>
        </xdr:cNvPr>
        <xdr:cNvSpPr>
          <a:spLocks noChangeArrowheads="1"/>
        </xdr:cNvSpPr>
      </xdr:nvSpPr>
      <xdr:spPr bwMode="auto">
        <a:xfrm>
          <a:off x="6581775" y="8915400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495300</xdr:colOff>
      <xdr:row>53</xdr:row>
      <xdr:rowOff>95250</xdr:rowOff>
    </xdr:from>
    <xdr:to>
      <xdr:col>12</xdr:col>
      <xdr:colOff>571500</xdr:colOff>
      <xdr:row>54</xdr:row>
      <xdr:rowOff>57150</xdr:rowOff>
    </xdr:to>
    <xdr:sp macro="" textlink="">
      <xdr:nvSpPr>
        <xdr:cNvPr id="16577" name="Rectangle 193">
          <a:extLst>
            <a:ext uri="{FF2B5EF4-FFF2-40B4-BE49-F238E27FC236}">
              <a16:creationId xmlns:a16="http://schemas.microsoft.com/office/drawing/2014/main" id="{00000000-0008-0000-0100-0000C1400000}"/>
            </a:ext>
          </a:extLst>
        </xdr:cNvPr>
        <xdr:cNvSpPr>
          <a:spLocks noChangeArrowheads="1"/>
        </xdr:cNvSpPr>
      </xdr:nvSpPr>
      <xdr:spPr bwMode="auto">
        <a:xfrm>
          <a:off x="7810500" y="8905875"/>
          <a:ext cx="762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590550</xdr:colOff>
      <xdr:row>50</xdr:row>
      <xdr:rowOff>133350</xdr:rowOff>
    </xdr:from>
    <xdr:to>
      <xdr:col>6</xdr:col>
      <xdr:colOff>304800</xdr:colOff>
      <xdr:row>62</xdr:row>
      <xdr:rowOff>0</xdr:rowOff>
    </xdr:to>
    <xdr:cxnSp macro="">
      <xdr:nvCxnSpPr>
        <xdr:cNvPr id="16578" name="AutoShape 194">
          <a:extLst>
            <a:ext uri="{FF2B5EF4-FFF2-40B4-BE49-F238E27FC236}">
              <a16:creationId xmlns:a16="http://schemas.microsoft.com/office/drawing/2014/main" id="{00000000-0008-0000-0100-0000C24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2895600" y="9201150"/>
          <a:ext cx="1809750" cy="323850"/>
        </a:xfrm>
        <a:prstGeom prst="bentConnector3">
          <a:avLst>
            <a:gd name="adj1" fmla="val 99472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50</xdr:row>
      <xdr:rowOff>104775</xdr:rowOff>
    </xdr:from>
    <xdr:to>
      <xdr:col>5</xdr:col>
      <xdr:colOff>9525</xdr:colOff>
      <xdr:row>54</xdr:row>
      <xdr:rowOff>0</xdr:rowOff>
    </xdr:to>
    <xdr:cxnSp macro="">
      <xdr:nvCxnSpPr>
        <xdr:cNvPr id="16579" name="AutoShape 195">
          <a:extLst>
            <a:ext uri="{FF2B5EF4-FFF2-40B4-BE49-F238E27FC236}">
              <a16:creationId xmlns:a16="http://schemas.microsoft.com/office/drawing/2014/main" id="{00000000-0008-0000-0100-0000C3400000}"/>
            </a:ext>
          </a:extLst>
        </xdr:cNvPr>
        <xdr:cNvCxnSpPr>
          <a:cxnSpLocks noChangeShapeType="1"/>
          <a:stCxn id="16498" idx="0"/>
        </xdr:cNvCxnSpPr>
      </xdr:nvCxnSpPr>
      <xdr:spPr bwMode="auto">
        <a:xfrm rot="16200000">
          <a:off x="2628900" y="8543925"/>
          <a:ext cx="542925" cy="314325"/>
        </a:xfrm>
        <a:prstGeom prst="bentConnector3">
          <a:avLst>
            <a:gd name="adj1" fmla="val 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304800</xdr:colOff>
      <xdr:row>50</xdr:row>
      <xdr:rowOff>104775</xdr:rowOff>
    </xdr:from>
    <xdr:to>
      <xdr:col>7</xdr:col>
      <xdr:colOff>9525</xdr:colOff>
      <xdr:row>54</xdr:row>
      <xdr:rowOff>0</xdr:rowOff>
    </xdr:to>
    <xdr:cxnSp macro="">
      <xdr:nvCxnSpPr>
        <xdr:cNvPr id="16580" name="AutoShape 196">
          <a:extLst>
            <a:ext uri="{FF2B5EF4-FFF2-40B4-BE49-F238E27FC236}">
              <a16:creationId xmlns:a16="http://schemas.microsoft.com/office/drawing/2014/main" id="{00000000-0008-0000-0100-0000C4400000}"/>
            </a:ext>
          </a:extLst>
        </xdr:cNvPr>
        <xdr:cNvCxnSpPr>
          <a:cxnSpLocks noChangeShapeType="1"/>
        </xdr:cNvCxnSpPr>
      </xdr:nvCxnSpPr>
      <xdr:spPr bwMode="auto">
        <a:xfrm rot="16200000">
          <a:off x="3848100" y="8543925"/>
          <a:ext cx="542925" cy="314325"/>
        </a:xfrm>
        <a:prstGeom prst="bentConnector3">
          <a:avLst>
            <a:gd name="adj1" fmla="val 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590550</xdr:colOff>
      <xdr:row>50</xdr:row>
      <xdr:rowOff>133350</xdr:rowOff>
    </xdr:from>
    <xdr:to>
      <xdr:col>8</xdr:col>
      <xdr:colOff>304800</xdr:colOff>
      <xdr:row>62</xdr:row>
      <xdr:rowOff>0</xdr:rowOff>
    </xdr:to>
    <xdr:cxnSp macro="">
      <xdr:nvCxnSpPr>
        <xdr:cNvPr id="16581" name="AutoShape 197">
          <a:extLst>
            <a:ext uri="{FF2B5EF4-FFF2-40B4-BE49-F238E27FC236}">
              <a16:creationId xmlns:a16="http://schemas.microsoft.com/office/drawing/2014/main" id="{00000000-0008-0000-0100-0000C54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4114800" y="9201150"/>
          <a:ext cx="1809750" cy="323850"/>
        </a:xfrm>
        <a:prstGeom prst="bentConnector3">
          <a:avLst>
            <a:gd name="adj1" fmla="val 99472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447675</xdr:colOff>
      <xdr:row>50</xdr:row>
      <xdr:rowOff>114300</xdr:rowOff>
    </xdr:from>
    <xdr:to>
      <xdr:col>9</xdr:col>
      <xdr:colOff>561975</xdr:colOff>
      <xdr:row>57</xdr:row>
      <xdr:rowOff>133350</xdr:rowOff>
    </xdr:to>
    <xdr:cxnSp macro="">
      <xdr:nvCxnSpPr>
        <xdr:cNvPr id="16582" name="AutoShape 198">
          <a:extLst>
            <a:ext uri="{FF2B5EF4-FFF2-40B4-BE49-F238E27FC236}">
              <a16:creationId xmlns:a16="http://schemas.microsoft.com/office/drawing/2014/main" id="{00000000-0008-0000-0100-0000C64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5110162" y="8653463"/>
          <a:ext cx="1152525" cy="723900"/>
        </a:xfrm>
        <a:prstGeom prst="bentConnector3">
          <a:avLst>
            <a:gd name="adj1" fmla="val 49588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552450</xdr:colOff>
      <xdr:row>56</xdr:row>
      <xdr:rowOff>142875</xdr:rowOff>
    </xdr:from>
    <xdr:to>
      <xdr:col>12</xdr:col>
      <xdr:colOff>304800</xdr:colOff>
      <xdr:row>62</xdr:row>
      <xdr:rowOff>0</xdr:rowOff>
    </xdr:to>
    <xdr:cxnSp macro="">
      <xdr:nvCxnSpPr>
        <xdr:cNvPr id="16583" name="AutoShape 199">
          <a:extLst>
            <a:ext uri="{FF2B5EF4-FFF2-40B4-BE49-F238E27FC236}">
              <a16:creationId xmlns:a16="http://schemas.microsoft.com/office/drawing/2014/main" id="{00000000-0008-0000-0100-0000C7400000}"/>
            </a:ext>
          </a:extLst>
        </xdr:cNvPr>
        <xdr:cNvCxnSpPr>
          <a:cxnSpLocks noChangeShapeType="1"/>
          <a:endCxn id="16554" idx="0"/>
        </xdr:cNvCxnSpPr>
      </xdr:nvCxnSpPr>
      <xdr:spPr bwMode="auto">
        <a:xfrm rot="16200000" flipH="1">
          <a:off x="7024687" y="9672638"/>
          <a:ext cx="828675" cy="361950"/>
        </a:xfrm>
        <a:prstGeom prst="bentConnector3">
          <a:avLst>
            <a:gd name="adj1" fmla="val 96551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561975</xdr:colOff>
      <xdr:row>57</xdr:row>
      <xdr:rowOff>85725</xdr:rowOff>
    </xdr:from>
    <xdr:to>
      <xdr:col>10</xdr:col>
      <xdr:colOff>295275</xdr:colOff>
      <xdr:row>62</xdr:row>
      <xdr:rowOff>9525</xdr:rowOff>
    </xdr:to>
    <xdr:cxnSp macro="">
      <xdr:nvCxnSpPr>
        <xdr:cNvPr id="16584" name="AutoShape 200">
          <a:extLst>
            <a:ext uri="{FF2B5EF4-FFF2-40B4-BE49-F238E27FC236}">
              <a16:creationId xmlns:a16="http://schemas.microsoft.com/office/drawing/2014/main" id="{00000000-0008-0000-0100-0000C84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5853112" y="9739313"/>
          <a:ext cx="733425" cy="342900"/>
        </a:xfrm>
        <a:prstGeom prst="bentConnector3">
          <a:avLst>
            <a:gd name="adj1" fmla="val 94801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447675</xdr:colOff>
      <xdr:row>51</xdr:row>
      <xdr:rowOff>28575</xdr:rowOff>
    </xdr:from>
    <xdr:to>
      <xdr:col>11</xdr:col>
      <xdr:colOff>552450</xdr:colOff>
      <xdr:row>56</xdr:row>
      <xdr:rowOff>142875</xdr:rowOff>
    </xdr:to>
    <xdr:cxnSp macro="">
      <xdr:nvCxnSpPr>
        <xdr:cNvPr id="16585" name="AutoShape 201">
          <a:extLst>
            <a:ext uri="{FF2B5EF4-FFF2-40B4-BE49-F238E27FC236}">
              <a16:creationId xmlns:a16="http://schemas.microsoft.com/office/drawing/2014/main" id="{00000000-0008-0000-0100-0000C94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6438900" y="8620125"/>
          <a:ext cx="923925" cy="714375"/>
        </a:xfrm>
        <a:prstGeom prst="bentConnector3">
          <a:avLst>
            <a:gd name="adj1" fmla="val 49486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47</xdr:row>
      <xdr:rowOff>76200</xdr:rowOff>
    </xdr:from>
    <xdr:to>
      <xdr:col>5</xdr:col>
      <xdr:colOff>190500</xdr:colOff>
      <xdr:row>50</xdr:row>
      <xdr:rowOff>95250</xdr:rowOff>
    </xdr:to>
    <xdr:sp macro="" textlink="">
      <xdr:nvSpPr>
        <xdr:cNvPr id="16586" name="Freeform 202">
          <a:extLst>
            <a:ext uri="{FF2B5EF4-FFF2-40B4-BE49-F238E27FC236}">
              <a16:creationId xmlns:a16="http://schemas.microsoft.com/office/drawing/2014/main" id="{00000000-0008-0000-0100-0000CA400000}"/>
            </a:ext>
          </a:extLst>
        </xdr:cNvPr>
        <xdr:cNvSpPr>
          <a:spLocks/>
        </xdr:cNvSpPr>
      </xdr:nvSpPr>
      <xdr:spPr bwMode="auto">
        <a:xfrm>
          <a:off x="3057525" y="7915275"/>
          <a:ext cx="180975" cy="504825"/>
        </a:xfrm>
        <a:custGeom>
          <a:avLst/>
          <a:gdLst>
            <a:gd name="T0" fmla="*/ 0 w 19"/>
            <a:gd name="T1" fmla="*/ 53 h 53"/>
            <a:gd name="T2" fmla="*/ 8 w 19"/>
            <a:gd name="T3" fmla="*/ 44 h 53"/>
            <a:gd name="T4" fmla="*/ 6 w 19"/>
            <a:gd name="T5" fmla="*/ 33 h 53"/>
            <a:gd name="T6" fmla="*/ 13 w 19"/>
            <a:gd name="T7" fmla="*/ 25 h 53"/>
            <a:gd name="T8" fmla="*/ 12 w 19"/>
            <a:gd name="T9" fmla="*/ 15 h 53"/>
            <a:gd name="T10" fmla="*/ 18 w 19"/>
            <a:gd name="T11" fmla="*/ 3 h 53"/>
            <a:gd name="T12" fmla="*/ 19 w 19"/>
            <a:gd name="T13" fmla="*/ 0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19" h="53">
              <a:moveTo>
                <a:pt x="0" y="53"/>
              </a:moveTo>
              <a:cubicBezTo>
                <a:pt x="1" y="45"/>
                <a:pt x="2" y="48"/>
                <a:pt x="8" y="44"/>
              </a:cubicBezTo>
              <a:cubicBezTo>
                <a:pt x="9" y="39"/>
                <a:pt x="7" y="38"/>
                <a:pt x="6" y="33"/>
              </a:cubicBezTo>
              <a:cubicBezTo>
                <a:pt x="7" y="28"/>
                <a:pt x="9" y="29"/>
                <a:pt x="13" y="25"/>
              </a:cubicBezTo>
              <a:cubicBezTo>
                <a:pt x="14" y="21"/>
                <a:pt x="13" y="19"/>
                <a:pt x="12" y="15"/>
              </a:cubicBezTo>
              <a:cubicBezTo>
                <a:pt x="18" y="11"/>
                <a:pt x="17" y="10"/>
                <a:pt x="18" y="3"/>
              </a:cubicBezTo>
              <a:cubicBezTo>
                <a:pt x="18" y="2"/>
                <a:pt x="19" y="0"/>
                <a:pt x="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581025</xdr:colOff>
      <xdr:row>46</xdr:row>
      <xdr:rowOff>133350</xdr:rowOff>
    </xdr:from>
    <xdr:to>
      <xdr:col>4</xdr:col>
      <xdr:colOff>57150</xdr:colOff>
      <xdr:row>50</xdr:row>
      <xdr:rowOff>133350</xdr:rowOff>
    </xdr:to>
    <xdr:sp macro="" textlink="">
      <xdr:nvSpPr>
        <xdr:cNvPr id="16587" name="Freeform 203">
          <a:extLst>
            <a:ext uri="{FF2B5EF4-FFF2-40B4-BE49-F238E27FC236}">
              <a16:creationId xmlns:a16="http://schemas.microsoft.com/office/drawing/2014/main" id="{00000000-0008-0000-0100-0000CB400000}"/>
            </a:ext>
          </a:extLst>
        </xdr:cNvPr>
        <xdr:cNvSpPr>
          <a:spLocks/>
        </xdr:cNvSpPr>
      </xdr:nvSpPr>
      <xdr:spPr bwMode="auto">
        <a:xfrm>
          <a:off x="2409825" y="7810500"/>
          <a:ext cx="85725" cy="647700"/>
        </a:xfrm>
        <a:custGeom>
          <a:avLst/>
          <a:gdLst>
            <a:gd name="T0" fmla="*/ 1 w 9"/>
            <a:gd name="T1" fmla="*/ 68 h 68"/>
            <a:gd name="T2" fmla="*/ 0 w 9"/>
            <a:gd name="T3" fmla="*/ 56 h 68"/>
            <a:gd name="T4" fmla="*/ 6 w 9"/>
            <a:gd name="T5" fmla="*/ 45 h 68"/>
            <a:gd name="T6" fmla="*/ 4 w 9"/>
            <a:gd name="T7" fmla="*/ 32 h 68"/>
            <a:gd name="T8" fmla="*/ 9 w 9"/>
            <a:gd name="T9" fmla="*/ 22 h 68"/>
            <a:gd name="T10" fmla="*/ 8 w 9"/>
            <a:gd name="T11" fmla="*/ 0 h 6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9" h="68">
              <a:moveTo>
                <a:pt x="1" y="68"/>
              </a:moveTo>
              <a:cubicBezTo>
                <a:pt x="3" y="61"/>
                <a:pt x="4" y="62"/>
                <a:pt x="0" y="56"/>
              </a:cubicBezTo>
              <a:cubicBezTo>
                <a:pt x="1" y="50"/>
                <a:pt x="3" y="49"/>
                <a:pt x="6" y="45"/>
              </a:cubicBezTo>
              <a:cubicBezTo>
                <a:pt x="7" y="41"/>
                <a:pt x="4" y="32"/>
                <a:pt x="4" y="32"/>
              </a:cubicBezTo>
              <a:cubicBezTo>
                <a:pt x="5" y="28"/>
                <a:pt x="9" y="22"/>
                <a:pt x="9" y="22"/>
              </a:cubicBezTo>
              <a:cubicBezTo>
                <a:pt x="8" y="15"/>
                <a:pt x="8" y="0"/>
                <a:pt x="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47</xdr:row>
      <xdr:rowOff>123825</xdr:rowOff>
    </xdr:from>
    <xdr:to>
      <xdr:col>7</xdr:col>
      <xdr:colOff>190500</xdr:colOff>
      <xdr:row>50</xdr:row>
      <xdr:rowOff>142875</xdr:rowOff>
    </xdr:to>
    <xdr:sp macro="" textlink="">
      <xdr:nvSpPr>
        <xdr:cNvPr id="16588" name="Freeform 204">
          <a:extLst>
            <a:ext uri="{FF2B5EF4-FFF2-40B4-BE49-F238E27FC236}">
              <a16:creationId xmlns:a16="http://schemas.microsoft.com/office/drawing/2014/main" id="{00000000-0008-0000-0100-0000CC400000}"/>
            </a:ext>
          </a:extLst>
        </xdr:cNvPr>
        <xdr:cNvSpPr>
          <a:spLocks/>
        </xdr:cNvSpPr>
      </xdr:nvSpPr>
      <xdr:spPr bwMode="auto">
        <a:xfrm>
          <a:off x="4276725" y="7962900"/>
          <a:ext cx="180975" cy="504825"/>
        </a:xfrm>
        <a:custGeom>
          <a:avLst/>
          <a:gdLst>
            <a:gd name="T0" fmla="*/ 0 w 19"/>
            <a:gd name="T1" fmla="*/ 53 h 53"/>
            <a:gd name="T2" fmla="*/ 8 w 19"/>
            <a:gd name="T3" fmla="*/ 44 h 53"/>
            <a:gd name="T4" fmla="*/ 6 w 19"/>
            <a:gd name="T5" fmla="*/ 33 h 53"/>
            <a:gd name="T6" fmla="*/ 13 w 19"/>
            <a:gd name="T7" fmla="*/ 25 h 53"/>
            <a:gd name="T8" fmla="*/ 12 w 19"/>
            <a:gd name="T9" fmla="*/ 15 h 53"/>
            <a:gd name="T10" fmla="*/ 18 w 19"/>
            <a:gd name="T11" fmla="*/ 3 h 53"/>
            <a:gd name="T12" fmla="*/ 19 w 19"/>
            <a:gd name="T13" fmla="*/ 0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19" h="53">
              <a:moveTo>
                <a:pt x="0" y="53"/>
              </a:moveTo>
              <a:cubicBezTo>
                <a:pt x="1" y="45"/>
                <a:pt x="2" y="48"/>
                <a:pt x="8" y="44"/>
              </a:cubicBezTo>
              <a:cubicBezTo>
                <a:pt x="9" y="39"/>
                <a:pt x="7" y="38"/>
                <a:pt x="6" y="33"/>
              </a:cubicBezTo>
              <a:cubicBezTo>
                <a:pt x="7" y="28"/>
                <a:pt x="9" y="29"/>
                <a:pt x="13" y="25"/>
              </a:cubicBezTo>
              <a:cubicBezTo>
                <a:pt x="14" y="21"/>
                <a:pt x="13" y="19"/>
                <a:pt x="12" y="15"/>
              </a:cubicBezTo>
              <a:cubicBezTo>
                <a:pt x="18" y="11"/>
                <a:pt x="17" y="10"/>
                <a:pt x="18" y="3"/>
              </a:cubicBezTo>
              <a:cubicBezTo>
                <a:pt x="18" y="2"/>
                <a:pt x="19" y="0"/>
                <a:pt x="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581025</xdr:colOff>
      <xdr:row>46</xdr:row>
      <xdr:rowOff>123825</xdr:rowOff>
    </xdr:from>
    <xdr:to>
      <xdr:col>6</xdr:col>
      <xdr:colOff>57150</xdr:colOff>
      <xdr:row>50</xdr:row>
      <xdr:rowOff>123825</xdr:rowOff>
    </xdr:to>
    <xdr:sp macro="" textlink="">
      <xdr:nvSpPr>
        <xdr:cNvPr id="16589" name="Freeform 205">
          <a:extLst>
            <a:ext uri="{FF2B5EF4-FFF2-40B4-BE49-F238E27FC236}">
              <a16:creationId xmlns:a16="http://schemas.microsoft.com/office/drawing/2014/main" id="{00000000-0008-0000-0100-0000CD400000}"/>
            </a:ext>
          </a:extLst>
        </xdr:cNvPr>
        <xdr:cNvSpPr>
          <a:spLocks/>
        </xdr:cNvSpPr>
      </xdr:nvSpPr>
      <xdr:spPr bwMode="auto">
        <a:xfrm>
          <a:off x="3629025" y="7800975"/>
          <a:ext cx="85725" cy="647700"/>
        </a:xfrm>
        <a:custGeom>
          <a:avLst/>
          <a:gdLst>
            <a:gd name="T0" fmla="*/ 1 w 9"/>
            <a:gd name="T1" fmla="*/ 68 h 68"/>
            <a:gd name="T2" fmla="*/ 0 w 9"/>
            <a:gd name="T3" fmla="*/ 56 h 68"/>
            <a:gd name="T4" fmla="*/ 6 w 9"/>
            <a:gd name="T5" fmla="*/ 45 h 68"/>
            <a:gd name="T6" fmla="*/ 4 w 9"/>
            <a:gd name="T7" fmla="*/ 32 h 68"/>
            <a:gd name="T8" fmla="*/ 9 w 9"/>
            <a:gd name="T9" fmla="*/ 22 h 68"/>
            <a:gd name="T10" fmla="*/ 8 w 9"/>
            <a:gd name="T11" fmla="*/ 0 h 6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9" h="68">
              <a:moveTo>
                <a:pt x="1" y="68"/>
              </a:moveTo>
              <a:cubicBezTo>
                <a:pt x="3" y="61"/>
                <a:pt x="4" y="62"/>
                <a:pt x="0" y="56"/>
              </a:cubicBezTo>
              <a:cubicBezTo>
                <a:pt x="1" y="50"/>
                <a:pt x="3" y="49"/>
                <a:pt x="6" y="45"/>
              </a:cubicBezTo>
              <a:cubicBezTo>
                <a:pt x="7" y="41"/>
                <a:pt x="4" y="32"/>
                <a:pt x="4" y="32"/>
              </a:cubicBezTo>
              <a:cubicBezTo>
                <a:pt x="5" y="28"/>
                <a:pt x="9" y="22"/>
                <a:pt x="9" y="22"/>
              </a:cubicBezTo>
              <a:cubicBezTo>
                <a:pt x="8" y="15"/>
                <a:pt x="8" y="0"/>
                <a:pt x="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581025</xdr:colOff>
      <xdr:row>46</xdr:row>
      <xdr:rowOff>133350</xdr:rowOff>
    </xdr:from>
    <xdr:to>
      <xdr:col>8</xdr:col>
      <xdr:colOff>57150</xdr:colOff>
      <xdr:row>50</xdr:row>
      <xdr:rowOff>133350</xdr:rowOff>
    </xdr:to>
    <xdr:sp macro="" textlink="">
      <xdr:nvSpPr>
        <xdr:cNvPr id="16590" name="Freeform 206">
          <a:extLst>
            <a:ext uri="{FF2B5EF4-FFF2-40B4-BE49-F238E27FC236}">
              <a16:creationId xmlns:a16="http://schemas.microsoft.com/office/drawing/2014/main" id="{00000000-0008-0000-0100-0000CE400000}"/>
            </a:ext>
          </a:extLst>
        </xdr:cNvPr>
        <xdr:cNvSpPr>
          <a:spLocks/>
        </xdr:cNvSpPr>
      </xdr:nvSpPr>
      <xdr:spPr bwMode="auto">
        <a:xfrm>
          <a:off x="4848225" y="7810500"/>
          <a:ext cx="85725" cy="647700"/>
        </a:xfrm>
        <a:custGeom>
          <a:avLst/>
          <a:gdLst>
            <a:gd name="T0" fmla="*/ 1 w 9"/>
            <a:gd name="T1" fmla="*/ 68 h 68"/>
            <a:gd name="T2" fmla="*/ 0 w 9"/>
            <a:gd name="T3" fmla="*/ 56 h 68"/>
            <a:gd name="T4" fmla="*/ 6 w 9"/>
            <a:gd name="T5" fmla="*/ 45 h 68"/>
            <a:gd name="T6" fmla="*/ 4 w 9"/>
            <a:gd name="T7" fmla="*/ 32 h 68"/>
            <a:gd name="T8" fmla="*/ 9 w 9"/>
            <a:gd name="T9" fmla="*/ 22 h 68"/>
            <a:gd name="T10" fmla="*/ 8 w 9"/>
            <a:gd name="T11" fmla="*/ 0 h 6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9" h="68">
              <a:moveTo>
                <a:pt x="1" y="68"/>
              </a:moveTo>
              <a:cubicBezTo>
                <a:pt x="3" y="61"/>
                <a:pt x="4" y="62"/>
                <a:pt x="0" y="56"/>
              </a:cubicBezTo>
              <a:cubicBezTo>
                <a:pt x="1" y="50"/>
                <a:pt x="3" y="49"/>
                <a:pt x="6" y="45"/>
              </a:cubicBezTo>
              <a:cubicBezTo>
                <a:pt x="7" y="41"/>
                <a:pt x="4" y="32"/>
                <a:pt x="4" y="32"/>
              </a:cubicBezTo>
              <a:cubicBezTo>
                <a:pt x="5" y="28"/>
                <a:pt x="9" y="22"/>
                <a:pt x="9" y="22"/>
              </a:cubicBezTo>
              <a:cubicBezTo>
                <a:pt x="8" y="15"/>
                <a:pt x="8" y="0"/>
                <a:pt x="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58</xdr:row>
      <xdr:rowOff>0</xdr:rowOff>
    </xdr:from>
    <xdr:to>
      <xdr:col>3</xdr:col>
      <xdr:colOff>476250</xdr:colOff>
      <xdr:row>61</xdr:row>
      <xdr:rowOff>0</xdr:rowOff>
    </xdr:to>
    <xdr:sp macro="" textlink="">
      <xdr:nvSpPr>
        <xdr:cNvPr id="16591" name="Line 207">
          <a:extLst>
            <a:ext uri="{FF2B5EF4-FFF2-40B4-BE49-F238E27FC236}">
              <a16:creationId xmlns:a16="http://schemas.microsoft.com/office/drawing/2014/main" id="{00000000-0008-0000-0100-0000CF400000}"/>
            </a:ext>
          </a:extLst>
        </xdr:cNvPr>
        <xdr:cNvSpPr>
          <a:spLocks noChangeShapeType="1"/>
        </xdr:cNvSpPr>
      </xdr:nvSpPr>
      <xdr:spPr bwMode="auto">
        <a:xfrm>
          <a:off x="1495425" y="9620250"/>
          <a:ext cx="809625" cy="4857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361950</xdr:colOff>
      <xdr:row>48</xdr:row>
      <xdr:rowOff>9525</xdr:rowOff>
    </xdr:from>
    <xdr:to>
      <xdr:col>4</xdr:col>
      <xdr:colOff>561975</xdr:colOff>
      <xdr:row>51</xdr:row>
      <xdr:rowOff>9525</xdr:rowOff>
    </xdr:to>
    <xdr:sp macro="" textlink="">
      <xdr:nvSpPr>
        <xdr:cNvPr id="16592" name="Line 208">
          <a:extLst>
            <a:ext uri="{FF2B5EF4-FFF2-40B4-BE49-F238E27FC236}">
              <a16:creationId xmlns:a16="http://schemas.microsoft.com/office/drawing/2014/main" id="{00000000-0008-0000-0100-0000D0400000}"/>
            </a:ext>
          </a:extLst>
        </xdr:cNvPr>
        <xdr:cNvSpPr>
          <a:spLocks noChangeShapeType="1"/>
        </xdr:cNvSpPr>
      </xdr:nvSpPr>
      <xdr:spPr bwMode="auto">
        <a:xfrm>
          <a:off x="2190750" y="8010525"/>
          <a:ext cx="809625" cy="4857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495300</xdr:colOff>
      <xdr:row>48</xdr:row>
      <xdr:rowOff>152400</xdr:rowOff>
    </xdr:from>
    <xdr:to>
      <xdr:col>4</xdr:col>
      <xdr:colOff>495300</xdr:colOff>
      <xdr:row>52</xdr:row>
      <xdr:rowOff>66675</xdr:rowOff>
    </xdr:to>
    <xdr:sp macro="" textlink="">
      <xdr:nvSpPr>
        <xdr:cNvPr id="16593" name="Line 209">
          <a:extLst>
            <a:ext uri="{FF2B5EF4-FFF2-40B4-BE49-F238E27FC236}">
              <a16:creationId xmlns:a16="http://schemas.microsoft.com/office/drawing/2014/main" id="{00000000-0008-0000-0100-0000D1400000}"/>
            </a:ext>
          </a:extLst>
        </xdr:cNvPr>
        <xdr:cNvSpPr>
          <a:spLocks noChangeShapeType="1"/>
        </xdr:cNvSpPr>
      </xdr:nvSpPr>
      <xdr:spPr bwMode="auto">
        <a:xfrm>
          <a:off x="1714500" y="8153400"/>
          <a:ext cx="1219200" cy="561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419100</xdr:colOff>
      <xdr:row>49</xdr:row>
      <xdr:rowOff>19050</xdr:rowOff>
    </xdr:from>
    <xdr:to>
      <xdr:col>4</xdr:col>
      <xdr:colOff>76200</xdr:colOff>
      <xdr:row>52</xdr:row>
      <xdr:rowOff>47625</xdr:rowOff>
    </xdr:to>
    <xdr:sp macro="" textlink="">
      <xdr:nvSpPr>
        <xdr:cNvPr id="16594" name="Line 210">
          <a:extLst>
            <a:ext uri="{FF2B5EF4-FFF2-40B4-BE49-F238E27FC236}">
              <a16:creationId xmlns:a16="http://schemas.microsoft.com/office/drawing/2014/main" id="{00000000-0008-0000-0100-0000D2400000}"/>
            </a:ext>
          </a:extLst>
        </xdr:cNvPr>
        <xdr:cNvSpPr>
          <a:spLocks noChangeShapeType="1"/>
        </xdr:cNvSpPr>
      </xdr:nvSpPr>
      <xdr:spPr bwMode="auto">
        <a:xfrm>
          <a:off x="1638300" y="8181975"/>
          <a:ext cx="876300" cy="514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52</xdr:row>
      <xdr:rowOff>38100</xdr:rowOff>
    </xdr:from>
    <xdr:to>
      <xdr:col>4</xdr:col>
      <xdr:colOff>28575</xdr:colOff>
      <xdr:row>55</xdr:row>
      <xdr:rowOff>38100</xdr:rowOff>
    </xdr:to>
    <xdr:sp macro="" textlink="">
      <xdr:nvSpPr>
        <xdr:cNvPr id="16595" name="Line 211">
          <a:extLst>
            <a:ext uri="{FF2B5EF4-FFF2-40B4-BE49-F238E27FC236}">
              <a16:creationId xmlns:a16="http://schemas.microsoft.com/office/drawing/2014/main" id="{00000000-0008-0000-0100-0000D3400000}"/>
            </a:ext>
          </a:extLst>
        </xdr:cNvPr>
        <xdr:cNvSpPr>
          <a:spLocks noChangeShapeType="1"/>
        </xdr:cNvSpPr>
      </xdr:nvSpPr>
      <xdr:spPr bwMode="auto">
        <a:xfrm>
          <a:off x="1657350" y="8686800"/>
          <a:ext cx="809625" cy="4857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48</xdr:row>
      <xdr:rowOff>0</xdr:rowOff>
    </xdr:from>
    <xdr:to>
      <xdr:col>9</xdr:col>
      <xdr:colOff>161925</xdr:colOff>
      <xdr:row>49</xdr:row>
      <xdr:rowOff>38100</xdr:rowOff>
    </xdr:to>
    <xdr:sp macro="" textlink="">
      <xdr:nvSpPr>
        <xdr:cNvPr id="16596" name="Line 212">
          <a:extLst>
            <a:ext uri="{FF2B5EF4-FFF2-40B4-BE49-F238E27FC236}">
              <a16:creationId xmlns:a16="http://schemas.microsoft.com/office/drawing/2014/main" id="{00000000-0008-0000-0100-0000D4400000}"/>
            </a:ext>
          </a:extLst>
        </xdr:cNvPr>
        <xdr:cNvSpPr>
          <a:spLocks noChangeShapeType="1"/>
        </xdr:cNvSpPr>
      </xdr:nvSpPr>
      <xdr:spPr bwMode="auto">
        <a:xfrm flipH="1">
          <a:off x="4924425" y="8001000"/>
          <a:ext cx="723900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457200</xdr:colOff>
      <xdr:row>47</xdr:row>
      <xdr:rowOff>152400</xdr:rowOff>
    </xdr:from>
    <xdr:to>
      <xdr:col>11</xdr:col>
      <xdr:colOff>152400</xdr:colOff>
      <xdr:row>51</xdr:row>
      <xdr:rowOff>9525</xdr:rowOff>
    </xdr:to>
    <xdr:sp macro="" textlink="">
      <xdr:nvSpPr>
        <xdr:cNvPr id="16597" name="Line 213">
          <a:extLst>
            <a:ext uri="{FF2B5EF4-FFF2-40B4-BE49-F238E27FC236}">
              <a16:creationId xmlns:a16="http://schemas.microsoft.com/office/drawing/2014/main" id="{00000000-0008-0000-0100-0000D5400000}"/>
            </a:ext>
          </a:extLst>
        </xdr:cNvPr>
        <xdr:cNvSpPr>
          <a:spLocks noChangeShapeType="1"/>
        </xdr:cNvSpPr>
      </xdr:nvSpPr>
      <xdr:spPr bwMode="auto">
        <a:xfrm flipH="1">
          <a:off x="6553200" y="7991475"/>
          <a:ext cx="30480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68</xdr:row>
      <xdr:rowOff>152400</xdr:rowOff>
    </xdr:from>
    <xdr:to>
      <xdr:col>4</xdr:col>
      <xdr:colOff>276225</xdr:colOff>
      <xdr:row>71</xdr:row>
      <xdr:rowOff>76200</xdr:rowOff>
    </xdr:to>
    <xdr:sp macro="" textlink="">
      <xdr:nvSpPr>
        <xdr:cNvPr id="16598" name="Line 214">
          <a:extLst>
            <a:ext uri="{FF2B5EF4-FFF2-40B4-BE49-F238E27FC236}">
              <a16:creationId xmlns:a16="http://schemas.microsoft.com/office/drawing/2014/main" id="{00000000-0008-0000-0100-0000D6400000}"/>
            </a:ext>
          </a:extLst>
        </xdr:cNvPr>
        <xdr:cNvSpPr>
          <a:spLocks noChangeShapeType="1"/>
        </xdr:cNvSpPr>
      </xdr:nvSpPr>
      <xdr:spPr bwMode="auto">
        <a:xfrm flipV="1">
          <a:off x="1809750" y="11620500"/>
          <a:ext cx="904875" cy="4095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</xdr:colOff>
      <xdr:row>74</xdr:row>
      <xdr:rowOff>57150</xdr:rowOff>
    </xdr:from>
    <xdr:to>
      <xdr:col>4</xdr:col>
      <xdr:colOff>323850</xdr:colOff>
      <xdr:row>76</xdr:row>
      <xdr:rowOff>104775</xdr:rowOff>
    </xdr:to>
    <xdr:sp macro="" textlink="">
      <xdr:nvSpPr>
        <xdr:cNvPr id="16599" name="Line 215">
          <a:extLst>
            <a:ext uri="{FF2B5EF4-FFF2-40B4-BE49-F238E27FC236}">
              <a16:creationId xmlns:a16="http://schemas.microsoft.com/office/drawing/2014/main" id="{00000000-0008-0000-0100-0000D7400000}"/>
            </a:ext>
          </a:extLst>
        </xdr:cNvPr>
        <xdr:cNvSpPr>
          <a:spLocks noChangeShapeType="1"/>
        </xdr:cNvSpPr>
      </xdr:nvSpPr>
      <xdr:spPr bwMode="auto">
        <a:xfrm flipV="1">
          <a:off x="1847850" y="12496800"/>
          <a:ext cx="914400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71</xdr:row>
      <xdr:rowOff>133350</xdr:rowOff>
    </xdr:from>
    <xdr:to>
      <xdr:col>4</xdr:col>
      <xdr:colOff>523875</xdr:colOff>
      <xdr:row>76</xdr:row>
      <xdr:rowOff>85725</xdr:rowOff>
    </xdr:to>
    <xdr:sp macro="" textlink="">
      <xdr:nvSpPr>
        <xdr:cNvPr id="16600" name="Line 216">
          <a:extLst>
            <a:ext uri="{FF2B5EF4-FFF2-40B4-BE49-F238E27FC236}">
              <a16:creationId xmlns:a16="http://schemas.microsoft.com/office/drawing/2014/main" id="{00000000-0008-0000-0100-0000D8400000}"/>
            </a:ext>
          </a:extLst>
        </xdr:cNvPr>
        <xdr:cNvSpPr>
          <a:spLocks noChangeShapeType="1"/>
        </xdr:cNvSpPr>
      </xdr:nvSpPr>
      <xdr:spPr bwMode="auto">
        <a:xfrm flipV="1">
          <a:off x="1838325" y="12087225"/>
          <a:ext cx="112395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76</xdr:row>
      <xdr:rowOff>57150</xdr:rowOff>
    </xdr:from>
    <xdr:to>
      <xdr:col>4</xdr:col>
      <xdr:colOff>76200</xdr:colOff>
      <xdr:row>76</xdr:row>
      <xdr:rowOff>133350</xdr:rowOff>
    </xdr:to>
    <xdr:sp macro="" textlink="">
      <xdr:nvSpPr>
        <xdr:cNvPr id="16601" name="Line 217">
          <a:extLst>
            <a:ext uri="{FF2B5EF4-FFF2-40B4-BE49-F238E27FC236}">
              <a16:creationId xmlns:a16="http://schemas.microsoft.com/office/drawing/2014/main" id="{00000000-0008-0000-0100-0000D9400000}"/>
            </a:ext>
          </a:extLst>
        </xdr:cNvPr>
        <xdr:cNvSpPr>
          <a:spLocks noChangeShapeType="1"/>
        </xdr:cNvSpPr>
      </xdr:nvSpPr>
      <xdr:spPr bwMode="auto">
        <a:xfrm flipV="1">
          <a:off x="1838325" y="12820650"/>
          <a:ext cx="676275" cy="76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69</xdr:row>
      <xdr:rowOff>57150</xdr:rowOff>
    </xdr:from>
    <xdr:to>
      <xdr:col>4</xdr:col>
      <xdr:colOff>333375</xdr:colOff>
      <xdr:row>76</xdr:row>
      <xdr:rowOff>57150</xdr:rowOff>
    </xdr:to>
    <xdr:sp macro="" textlink="">
      <xdr:nvSpPr>
        <xdr:cNvPr id="16602" name="Line 218">
          <a:extLst>
            <a:ext uri="{FF2B5EF4-FFF2-40B4-BE49-F238E27FC236}">
              <a16:creationId xmlns:a16="http://schemas.microsoft.com/office/drawing/2014/main" id="{00000000-0008-0000-0100-0000DA400000}"/>
            </a:ext>
          </a:extLst>
        </xdr:cNvPr>
        <xdr:cNvSpPr>
          <a:spLocks noChangeShapeType="1"/>
        </xdr:cNvSpPr>
      </xdr:nvSpPr>
      <xdr:spPr bwMode="auto">
        <a:xfrm flipV="1">
          <a:off x="1828800" y="11687175"/>
          <a:ext cx="942975" cy="1133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48</xdr:row>
      <xdr:rowOff>0</xdr:rowOff>
    </xdr:from>
    <xdr:to>
      <xdr:col>11</xdr:col>
      <xdr:colOff>47625</xdr:colOff>
      <xdr:row>50</xdr:row>
      <xdr:rowOff>95250</xdr:rowOff>
    </xdr:to>
    <xdr:sp macro="" textlink="">
      <xdr:nvSpPr>
        <xdr:cNvPr id="16603" name="Line 219">
          <a:extLst>
            <a:ext uri="{FF2B5EF4-FFF2-40B4-BE49-F238E27FC236}">
              <a16:creationId xmlns:a16="http://schemas.microsoft.com/office/drawing/2014/main" id="{00000000-0008-0000-0100-0000DB400000}"/>
            </a:ext>
          </a:extLst>
        </xdr:cNvPr>
        <xdr:cNvSpPr>
          <a:spLocks noChangeShapeType="1"/>
        </xdr:cNvSpPr>
      </xdr:nvSpPr>
      <xdr:spPr bwMode="auto">
        <a:xfrm flipH="1">
          <a:off x="5353050" y="8001000"/>
          <a:ext cx="1400175" cy="419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342900</xdr:colOff>
      <xdr:row>48</xdr:row>
      <xdr:rowOff>0</xdr:rowOff>
    </xdr:from>
    <xdr:to>
      <xdr:col>12</xdr:col>
      <xdr:colOff>342900</xdr:colOff>
      <xdr:row>51</xdr:row>
      <xdr:rowOff>0</xdr:rowOff>
    </xdr:to>
    <xdr:sp macro="" textlink="">
      <xdr:nvSpPr>
        <xdr:cNvPr id="16604" name="Line 220">
          <a:extLst>
            <a:ext uri="{FF2B5EF4-FFF2-40B4-BE49-F238E27FC236}">
              <a16:creationId xmlns:a16="http://schemas.microsoft.com/office/drawing/2014/main" id="{00000000-0008-0000-0100-0000DC400000}"/>
            </a:ext>
          </a:extLst>
        </xdr:cNvPr>
        <xdr:cNvSpPr>
          <a:spLocks noChangeShapeType="1"/>
        </xdr:cNvSpPr>
      </xdr:nvSpPr>
      <xdr:spPr bwMode="auto">
        <a:xfrm>
          <a:off x="7048500" y="8001000"/>
          <a:ext cx="609600" cy="485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400050</xdr:colOff>
      <xdr:row>51</xdr:row>
      <xdr:rowOff>28575</xdr:rowOff>
    </xdr:from>
    <xdr:to>
      <xdr:col>13</xdr:col>
      <xdr:colOff>190500</xdr:colOff>
      <xdr:row>57</xdr:row>
      <xdr:rowOff>66675</xdr:rowOff>
    </xdr:to>
    <xdr:cxnSp macro="">
      <xdr:nvCxnSpPr>
        <xdr:cNvPr id="16605" name="AutoShape 221">
          <a:extLst>
            <a:ext uri="{FF2B5EF4-FFF2-40B4-BE49-F238E27FC236}">
              <a16:creationId xmlns:a16="http://schemas.microsoft.com/office/drawing/2014/main" id="{00000000-0008-0000-0100-0000DD4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7410450" y="8820150"/>
          <a:ext cx="1009650" cy="400050"/>
        </a:xfrm>
        <a:prstGeom prst="bentConnector3">
          <a:avLst>
            <a:gd name="adj1" fmla="val 43394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285750</xdr:colOff>
      <xdr:row>57</xdr:row>
      <xdr:rowOff>76200</xdr:rowOff>
    </xdr:from>
    <xdr:to>
      <xdr:col>13</xdr:col>
      <xdr:colOff>161925</xdr:colOff>
      <xdr:row>60</xdr:row>
      <xdr:rowOff>0</xdr:rowOff>
    </xdr:to>
    <xdr:sp macro="" textlink="">
      <xdr:nvSpPr>
        <xdr:cNvPr id="16606" name="Line 222">
          <a:extLst>
            <a:ext uri="{FF2B5EF4-FFF2-40B4-BE49-F238E27FC236}">
              <a16:creationId xmlns:a16="http://schemas.microsoft.com/office/drawing/2014/main" id="{00000000-0008-0000-0100-0000DE400000}"/>
            </a:ext>
          </a:extLst>
        </xdr:cNvPr>
        <xdr:cNvSpPr>
          <a:spLocks noChangeShapeType="1"/>
        </xdr:cNvSpPr>
      </xdr:nvSpPr>
      <xdr:spPr bwMode="auto">
        <a:xfrm flipH="1" flipV="1">
          <a:off x="7600950" y="9534525"/>
          <a:ext cx="485775" cy="4095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0.28256</cdr:x>
      <cdr:y>0.43946</cdr:y>
    </cdr:from>
    <cdr:to>
      <cdr:x>0.42975</cdr:x>
      <cdr:y>0.49044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2688" y="2137966"/>
          <a:ext cx="133325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10 x UL till interrupt !</a:t>
          </a:r>
          <a:endParaRPr lang="de-CH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9</xdr:row>
      <xdr:rowOff>9525</xdr:rowOff>
    </xdr:from>
    <xdr:to>
      <xdr:col>36</xdr:col>
      <xdr:colOff>28575</xdr:colOff>
      <xdr:row>39</xdr:row>
      <xdr:rowOff>104775</xdr:rowOff>
    </xdr:to>
    <xdr:sp macro="" textlink="">
      <xdr:nvSpPr>
        <xdr:cNvPr id="6147" name="Oval 3">
          <a:extLst>
            <a:ext uri="{FF2B5EF4-FFF2-40B4-BE49-F238E27FC236}">
              <a16:creationId xmlns:a16="http://schemas.microsoft.com/office/drawing/2014/main" id="{00000000-0008-0000-0E00-000003180000}"/>
            </a:ext>
          </a:extLst>
        </xdr:cNvPr>
        <xdr:cNvSpPr>
          <a:spLocks noChangeArrowheads="1"/>
        </xdr:cNvSpPr>
      </xdr:nvSpPr>
      <xdr:spPr bwMode="auto">
        <a:xfrm>
          <a:off x="552450" y="1228725"/>
          <a:ext cx="3590925" cy="38100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44</xdr:row>
      <xdr:rowOff>0</xdr:rowOff>
    </xdr:from>
    <xdr:to>
      <xdr:col>27</xdr:col>
      <xdr:colOff>104775</xdr:colOff>
      <xdr:row>44</xdr:row>
      <xdr:rowOff>0</xdr:rowOff>
    </xdr:to>
    <xdr:sp macro="" textlink="">
      <xdr:nvSpPr>
        <xdr:cNvPr id="6150" name="Line 6">
          <a:extLst>
            <a:ext uri="{FF2B5EF4-FFF2-40B4-BE49-F238E27FC236}">
              <a16:creationId xmlns:a16="http://schemas.microsoft.com/office/drawing/2014/main" id="{00000000-0008-0000-0E00-000006180000}"/>
            </a:ext>
          </a:extLst>
        </xdr:cNvPr>
        <xdr:cNvSpPr>
          <a:spLocks noChangeShapeType="1"/>
        </xdr:cNvSpPr>
      </xdr:nvSpPr>
      <xdr:spPr bwMode="auto">
        <a:xfrm>
          <a:off x="1495425" y="5553075"/>
          <a:ext cx="1695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</xdr:row>
      <xdr:rowOff>9525</xdr:rowOff>
    </xdr:from>
    <xdr:to>
      <xdr:col>30</xdr:col>
      <xdr:colOff>19050</xdr:colOff>
      <xdr:row>47</xdr:row>
      <xdr:rowOff>9525</xdr:rowOff>
    </xdr:to>
    <xdr:sp macro="" textlink="">
      <xdr:nvSpPr>
        <xdr:cNvPr id="6151" name="Line 7">
          <a:extLst>
            <a:ext uri="{FF2B5EF4-FFF2-40B4-BE49-F238E27FC236}">
              <a16:creationId xmlns:a16="http://schemas.microsoft.com/office/drawing/2014/main" id="{00000000-0008-0000-0E00-000007180000}"/>
            </a:ext>
          </a:extLst>
        </xdr:cNvPr>
        <xdr:cNvSpPr>
          <a:spLocks noChangeShapeType="1"/>
        </xdr:cNvSpPr>
      </xdr:nvSpPr>
      <xdr:spPr bwMode="auto">
        <a:xfrm>
          <a:off x="1257300" y="5934075"/>
          <a:ext cx="2190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50</xdr:row>
      <xdr:rowOff>0</xdr:rowOff>
    </xdr:from>
    <xdr:to>
      <xdr:col>32</xdr:col>
      <xdr:colOff>104775</xdr:colOff>
      <xdr:row>50</xdr:row>
      <xdr:rowOff>0</xdr:rowOff>
    </xdr:to>
    <xdr:sp macro="" textlink="">
      <xdr:nvSpPr>
        <xdr:cNvPr id="6152" name="Line 8">
          <a:extLst>
            <a:ext uri="{FF2B5EF4-FFF2-40B4-BE49-F238E27FC236}">
              <a16:creationId xmlns:a16="http://schemas.microsoft.com/office/drawing/2014/main" id="{00000000-0008-0000-0E00-000008180000}"/>
            </a:ext>
          </a:extLst>
        </xdr:cNvPr>
        <xdr:cNvSpPr>
          <a:spLocks noChangeShapeType="1"/>
        </xdr:cNvSpPr>
      </xdr:nvSpPr>
      <xdr:spPr bwMode="auto">
        <a:xfrm>
          <a:off x="923925" y="6296025"/>
          <a:ext cx="2838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9525</xdr:rowOff>
    </xdr:from>
    <xdr:to>
      <xdr:col>35</xdr:col>
      <xdr:colOff>0</xdr:colOff>
      <xdr:row>53</xdr:row>
      <xdr:rowOff>9525</xdr:rowOff>
    </xdr:to>
    <xdr:sp macro="" textlink="">
      <xdr:nvSpPr>
        <xdr:cNvPr id="6153" name="Line 9">
          <a:extLst>
            <a:ext uri="{FF2B5EF4-FFF2-40B4-BE49-F238E27FC236}">
              <a16:creationId xmlns:a16="http://schemas.microsoft.com/office/drawing/2014/main" id="{00000000-0008-0000-0E00-000009180000}"/>
            </a:ext>
          </a:extLst>
        </xdr:cNvPr>
        <xdr:cNvSpPr>
          <a:spLocks noChangeShapeType="1"/>
        </xdr:cNvSpPr>
      </xdr:nvSpPr>
      <xdr:spPr bwMode="auto">
        <a:xfrm>
          <a:off x="685800" y="6677025"/>
          <a:ext cx="3314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56</xdr:row>
      <xdr:rowOff>0</xdr:rowOff>
    </xdr:from>
    <xdr:to>
      <xdr:col>36</xdr:col>
      <xdr:colOff>9525</xdr:colOff>
      <xdr:row>56</xdr:row>
      <xdr:rowOff>0</xdr:rowOff>
    </xdr:to>
    <xdr:sp macro="" textlink="">
      <xdr:nvSpPr>
        <xdr:cNvPr id="6154" name="Line 10">
          <a:extLst>
            <a:ext uri="{FF2B5EF4-FFF2-40B4-BE49-F238E27FC236}">
              <a16:creationId xmlns:a16="http://schemas.microsoft.com/office/drawing/2014/main" id="{00000000-0008-0000-0E00-00000A180000}"/>
            </a:ext>
          </a:extLst>
        </xdr:cNvPr>
        <xdr:cNvSpPr>
          <a:spLocks noChangeShapeType="1"/>
        </xdr:cNvSpPr>
      </xdr:nvSpPr>
      <xdr:spPr bwMode="auto">
        <a:xfrm>
          <a:off x="600075" y="7038975"/>
          <a:ext cx="3524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19</xdr:row>
      <xdr:rowOff>0</xdr:rowOff>
    </xdr:from>
    <xdr:to>
      <xdr:col>34</xdr:col>
      <xdr:colOff>76200</xdr:colOff>
      <xdr:row>29</xdr:row>
      <xdr:rowOff>104775</xdr:rowOff>
    </xdr:to>
    <xdr:sp macro="" textlink="">
      <xdr:nvSpPr>
        <xdr:cNvPr id="6189" name="Line 45">
          <a:extLst>
            <a:ext uri="{FF2B5EF4-FFF2-40B4-BE49-F238E27FC236}">
              <a16:creationId xmlns:a16="http://schemas.microsoft.com/office/drawing/2014/main" id="{00000000-0008-0000-0E00-00002D180000}"/>
            </a:ext>
          </a:extLst>
        </xdr:cNvPr>
        <xdr:cNvSpPr>
          <a:spLocks noChangeShapeType="1"/>
        </xdr:cNvSpPr>
      </xdr:nvSpPr>
      <xdr:spPr bwMode="auto">
        <a:xfrm flipV="1">
          <a:off x="676275" y="2457450"/>
          <a:ext cx="3286125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20</xdr:row>
      <xdr:rowOff>95250</xdr:rowOff>
    </xdr:from>
    <xdr:to>
      <xdr:col>10</xdr:col>
      <xdr:colOff>371475</xdr:colOff>
      <xdr:row>25</xdr:row>
      <xdr:rowOff>66675</xdr:rowOff>
    </xdr:to>
    <xdr:sp macro="" textlink="">
      <xdr:nvSpPr>
        <xdr:cNvPr id="7219" name="Oval 51" descr="Light downward diagonal">
          <a:extLst>
            <a:ext uri="{FF2B5EF4-FFF2-40B4-BE49-F238E27FC236}">
              <a16:creationId xmlns:a16="http://schemas.microsoft.com/office/drawing/2014/main" id="{00000000-0008-0000-1200-0000331C0000}"/>
            </a:ext>
          </a:extLst>
        </xdr:cNvPr>
        <xdr:cNvSpPr>
          <a:spLocks noChangeArrowheads="1"/>
        </xdr:cNvSpPr>
      </xdr:nvSpPr>
      <xdr:spPr bwMode="auto">
        <a:xfrm>
          <a:off x="5734050" y="342900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247650</xdr:colOff>
      <xdr:row>20</xdr:row>
      <xdr:rowOff>95250</xdr:rowOff>
    </xdr:from>
    <xdr:to>
      <xdr:col>12</xdr:col>
      <xdr:colOff>371475</xdr:colOff>
      <xdr:row>25</xdr:row>
      <xdr:rowOff>66675</xdr:rowOff>
    </xdr:to>
    <xdr:sp macro="" textlink="">
      <xdr:nvSpPr>
        <xdr:cNvPr id="7220" name="Oval 52" descr="Light downward diagonal">
          <a:extLst>
            <a:ext uri="{FF2B5EF4-FFF2-40B4-BE49-F238E27FC236}">
              <a16:creationId xmlns:a16="http://schemas.microsoft.com/office/drawing/2014/main" id="{00000000-0008-0000-1200-0000341C0000}"/>
            </a:ext>
          </a:extLst>
        </xdr:cNvPr>
        <xdr:cNvSpPr>
          <a:spLocks noChangeArrowheads="1"/>
        </xdr:cNvSpPr>
      </xdr:nvSpPr>
      <xdr:spPr bwMode="auto">
        <a:xfrm>
          <a:off x="6953250" y="342900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152400</xdr:rowOff>
    </xdr:from>
    <xdr:to>
      <xdr:col>5</xdr:col>
      <xdr:colOff>9525</xdr:colOff>
      <xdr:row>27</xdr:row>
      <xdr:rowOff>0</xdr:rowOff>
    </xdr:to>
    <xdr:sp macro="" textlink="">
      <xdr:nvSpPr>
        <xdr:cNvPr id="7170" name="Oval 2">
          <a:extLst>
            <a:ext uri="{FF2B5EF4-FFF2-40B4-BE49-F238E27FC236}">
              <a16:creationId xmlns:a16="http://schemas.microsoft.com/office/drawing/2014/main" id="{00000000-0008-0000-1200-0000021C0000}"/>
            </a:ext>
          </a:extLst>
        </xdr:cNvPr>
        <xdr:cNvSpPr>
          <a:spLocks noChangeArrowheads="1"/>
        </xdr:cNvSpPr>
      </xdr:nvSpPr>
      <xdr:spPr bwMode="auto">
        <a:xfrm>
          <a:off x="1828800" y="316230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9525</xdr:rowOff>
    </xdr:from>
    <xdr:to>
      <xdr:col>7</xdr:col>
      <xdr:colOff>9525</xdr:colOff>
      <xdr:row>27</xdr:row>
      <xdr:rowOff>19050</xdr:rowOff>
    </xdr:to>
    <xdr:sp macro="" textlink="">
      <xdr:nvSpPr>
        <xdr:cNvPr id="7171" name="Oval 3">
          <a:extLst>
            <a:ext uri="{FF2B5EF4-FFF2-40B4-BE49-F238E27FC236}">
              <a16:creationId xmlns:a16="http://schemas.microsoft.com/office/drawing/2014/main" id="{00000000-0008-0000-1200-0000031C0000}"/>
            </a:ext>
          </a:extLst>
        </xdr:cNvPr>
        <xdr:cNvSpPr>
          <a:spLocks noChangeArrowheads="1"/>
        </xdr:cNvSpPr>
      </xdr:nvSpPr>
      <xdr:spPr bwMode="auto">
        <a:xfrm>
          <a:off x="3048000" y="318135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</xdr:rowOff>
    </xdr:from>
    <xdr:to>
      <xdr:col>9</xdr:col>
      <xdr:colOff>9525</xdr:colOff>
      <xdr:row>27</xdr:row>
      <xdr:rowOff>19050</xdr:rowOff>
    </xdr:to>
    <xdr:sp macro="" textlink="">
      <xdr:nvSpPr>
        <xdr:cNvPr id="7172" name="Oval 4">
          <a:extLst>
            <a:ext uri="{FF2B5EF4-FFF2-40B4-BE49-F238E27FC236}">
              <a16:creationId xmlns:a16="http://schemas.microsoft.com/office/drawing/2014/main" id="{00000000-0008-0000-1200-0000041C0000}"/>
            </a:ext>
          </a:extLst>
        </xdr:cNvPr>
        <xdr:cNvSpPr>
          <a:spLocks noChangeArrowheads="1"/>
        </xdr:cNvSpPr>
      </xdr:nvSpPr>
      <xdr:spPr bwMode="auto">
        <a:xfrm>
          <a:off x="4267200" y="318135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9525</xdr:colOff>
      <xdr:row>27</xdr:row>
      <xdr:rowOff>9525</xdr:rowOff>
    </xdr:to>
    <xdr:sp macro="" textlink="">
      <xdr:nvSpPr>
        <xdr:cNvPr id="7173" name="Oval 5">
          <a:extLst>
            <a:ext uri="{FF2B5EF4-FFF2-40B4-BE49-F238E27FC236}">
              <a16:creationId xmlns:a16="http://schemas.microsoft.com/office/drawing/2014/main" id="{00000000-0008-0000-1200-0000051C0000}"/>
            </a:ext>
          </a:extLst>
        </xdr:cNvPr>
        <xdr:cNvSpPr>
          <a:spLocks noChangeArrowheads="1"/>
        </xdr:cNvSpPr>
      </xdr:nvSpPr>
      <xdr:spPr bwMode="auto">
        <a:xfrm>
          <a:off x="5486400" y="3171825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152400</xdr:rowOff>
    </xdr:from>
    <xdr:to>
      <xdr:col>13</xdr:col>
      <xdr:colOff>9525</xdr:colOff>
      <xdr:row>27</xdr:row>
      <xdr:rowOff>0</xdr:rowOff>
    </xdr:to>
    <xdr:sp macro="" textlink="">
      <xdr:nvSpPr>
        <xdr:cNvPr id="7174" name="Oval 6">
          <a:extLst>
            <a:ext uri="{FF2B5EF4-FFF2-40B4-BE49-F238E27FC236}">
              <a16:creationId xmlns:a16="http://schemas.microsoft.com/office/drawing/2014/main" id="{00000000-0008-0000-1200-0000061C0000}"/>
            </a:ext>
          </a:extLst>
        </xdr:cNvPr>
        <xdr:cNvSpPr>
          <a:spLocks noChangeArrowheads="1"/>
        </xdr:cNvSpPr>
      </xdr:nvSpPr>
      <xdr:spPr bwMode="auto">
        <a:xfrm>
          <a:off x="6705600" y="316230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6</xdr:col>
      <xdr:colOff>9525</xdr:colOff>
      <xdr:row>20</xdr:row>
      <xdr:rowOff>9525</xdr:rowOff>
    </xdr:to>
    <xdr:sp macro="" textlink="">
      <xdr:nvSpPr>
        <xdr:cNvPr id="7175" name="Oval 7">
          <a:extLst>
            <a:ext uri="{FF2B5EF4-FFF2-40B4-BE49-F238E27FC236}">
              <a16:creationId xmlns:a16="http://schemas.microsoft.com/office/drawing/2014/main" id="{00000000-0008-0000-1200-0000071C0000}"/>
            </a:ext>
          </a:extLst>
        </xdr:cNvPr>
        <xdr:cNvSpPr>
          <a:spLocks noChangeArrowheads="1"/>
        </xdr:cNvSpPr>
      </xdr:nvSpPr>
      <xdr:spPr bwMode="auto">
        <a:xfrm>
          <a:off x="2438400" y="203835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9525</xdr:rowOff>
    </xdr:from>
    <xdr:to>
      <xdr:col>8</xdr:col>
      <xdr:colOff>9525</xdr:colOff>
      <xdr:row>20</xdr:row>
      <xdr:rowOff>19050</xdr:rowOff>
    </xdr:to>
    <xdr:sp macro="" textlink="">
      <xdr:nvSpPr>
        <xdr:cNvPr id="7176" name="Oval 8">
          <a:extLst>
            <a:ext uri="{FF2B5EF4-FFF2-40B4-BE49-F238E27FC236}">
              <a16:creationId xmlns:a16="http://schemas.microsoft.com/office/drawing/2014/main" id="{00000000-0008-0000-1200-0000081C0000}"/>
            </a:ext>
          </a:extLst>
        </xdr:cNvPr>
        <xdr:cNvSpPr>
          <a:spLocks noChangeArrowheads="1"/>
        </xdr:cNvSpPr>
      </xdr:nvSpPr>
      <xdr:spPr bwMode="auto">
        <a:xfrm>
          <a:off x="3657600" y="2047875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10</xdr:col>
      <xdr:colOff>9525</xdr:colOff>
      <xdr:row>20</xdr:row>
      <xdr:rowOff>9525</xdr:rowOff>
    </xdr:to>
    <xdr:sp macro="" textlink="">
      <xdr:nvSpPr>
        <xdr:cNvPr id="7177" name="Oval 9">
          <a:extLst>
            <a:ext uri="{FF2B5EF4-FFF2-40B4-BE49-F238E27FC236}">
              <a16:creationId xmlns:a16="http://schemas.microsoft.com/office/drawing/2014/main" id="{00000000-0008-0000-1200-0000091C0000}"/>
            </a:ext>
          </a:extLst>
        </xdr:cNvPr>
        <xdr:cNvSpPr>
          <a:spLocks noChangeArrowheads="1"/>
        </xdr:cNvSpPr>
      </xdr:nvSpPr>
      <xdr:spPr bwMode="auto">
        <a:xfrm>
          <a:off x="4876800" y="203835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11</xdr:row>
      <xdr:rowOff>152400</xdr:rowOff>
    </xdr:from>
    <xdr:to>
      <xdr:col>12</xdr:col>
      <xdr:colOff>19050</xdr:colOff>
      <xdr:row>20</xdr:row>
      <xdr:rowOff>0</xdr:rowOff>
    </xdr:to>
    <xdr:sp macro="" textlink="">
      <xdr:nvSpPr>
        <xdr:cNvPr id="7178" name="Oval 10">
          <a:extLst>
            <a:ext uri="{FF2B5EF4-FFF2-40B4-BE49-F238E27FC236}">
              <a16:creationId xmlns:a16="http://schemas.microsoft.com/office/drawing/2014/main" id="{00000000-0008-0000-1200-00000A1C0000}"/>
            </a:ext>
          </a:extLst>
        </xdr:cNvPr>
        <xdr:cNvSpPr>
          <a:spLocks noChangeArrowheads="1"/>
        </xdr:cNvSpPr>
      </xdr:nvSpPr>
      <xdr:spPr bwMode="auto">
        <a:xfrm>
          <a:off x="6105525" y="2028825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152400</xdr:rowOff>
    </xdr:from>
    <xdr:to>
      <xdr:col>7</xdr:col>
      <xdr:colOff>9525</xdr:colOff>
      <xdr:row>13</xdr:row>
      <xdr:rowOff>0</xdr:rowOff>
    </xdr:to>
    <xdr:sp macro="" textlink="">
      <xdr:nvSpPr>
        <xdr:cNvPr id="7179" name="Oval 11">
          <a:extLst>
            <a:ext uri="{FF2B5EF4-FFF2-40B4-BE49-F238E27FC236}">
              <a16:creationId xmlns:a16="http://schemas.microsoft.com/office/drawing/2014/main" id="{00000000-0008-0000-1200-00000B1C0000}"/>
            </a:ext>
          </a:extLst>
        </xdr:cNvPr>
        <xdr:cNvSpPr>
          <a:spLocks noChangeArrowheads="1"/>
        </xdr:cNvSpPr>
      </xdr:nvSpPr>
      <xdr:spPr bwMode="auto">
        <a:xfrm>
          <a:off x="3048000" y="89535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600075</xdr:colOff>
      <xdr:row>4</xdr:row>
      <xdr:rowOff>152400</xdr:rowOff>
    </xdr:from>
    <xdr:to>
      <xdr:col>9</xdr:col>
      <xdr:colOff>0</xdr:colOff>
      <xdr:row>13</xdr:row>
      <xdr:rowOff>0</xdr:rowOff>
    </xdr:to>
    <xdr:sp macro="" textlink="">
      <xdr:nvSpPr>
        <xdr:cNvPr id="7180" name="Oval 12">
          <a:extLst>
            <a:ext uri="{FF2B5EF4-FFF2-40B4-BE49-F238E27FC236}">
              <a16:creationId xmlns:a16="http://schemas.microsoft.com/office/drawing/2014/main" id="{00000000-0008-0000-1200-00000C1C0000}"/>
            </a:ext>
          </a:extLst>
        </xdr:cNvPr>
        <xdr:cNvSpPr>
          <a:spLocks noChangeArrowheads="1"/>
        </xdr:cNvSpPr>
      </xdr:nvSpPr>
      <xdr:spPr bwMode="auto">
        <a:xfrm>
          <a:off x="4257675" y="89535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152400</xdr:rowOff>
    </xdr:from>
    <xdr:to>
      <xdr:col>11</xdr:col>
      <xdr:colOff>9525</xdr:colOff>
      <xdr:row>13</xdr:row>
      <xdr:rowOff>0</xdr:rowOff>
    </xdr:to>
    <xdr:sp macro="" textlink="">
      <xdr:nvSpPr>
        <xdr:cNvPr id="7181" name="Oval 13">
          <a:extLst>
            <a:ext uri="{FF2B5EF4-FFF2-40B4-BE49-F238E27FC236}">
              <a16:creationId xmlns:a16="http://schemas.microsoft.com/office/drawing/2014/main" id="{00000000-0008-0000-1200-00000D1C0000}"/>
            </a:ext>
          </a:extLst>
        </xdr:cNvPr>
        <xdr:cNvSpPr>
          <a:spLocks noChangeArrowheads="1"/>
        </xdr:cNvSpPr>
      </xdr:nvSpPr>
      <xdr:spPr bwMode="auto">
        <a:xfrm>
          <a:off x="5486400" y="895350"/>
          <a:ext cx="1228725" cy="13049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142875</xdr:rowOff>
    </xdr:from>
    <xdr:to>
      <xdr:col>6</xdr:col>
      <xdr:colOff>9525</xdr:colOff>
      <xdr:row>15</xdr:row>
      <xdr:rowOff>152400</xdr:rowOff>
    </xdr:to>
    <xdr:sp macro="" textlink="">
      <xdr:nvSpPr>
        <xdr:cNvPr id="7182" name="Line 14">
          <a:extLst>
            <a:ext uri="{FF2B5EF4-FFF2-40B4-BE49-F238E27FC236}">
              <a16:creationId xmlns:a16="http://schemas.microsoft.com/office/drawing/2014/main" id="{00000000-0008-0000-1200-00000E1C0000}"/>
            </a:ext>
          </a:extLst>
        </xdr:cNvPr>
        <xdr:cNvSpPr>
          <a:spLocks noChangeShapeType="1"/>
        </xdr:cNvSpPr>
      </xdr:nvSpPr>
      <xdr:spPr bwMode="auto">
        <a:xfrm flipV="1">
          <a:off x="3048000" y="1533525"/>
          <a:ext cx="619125" cy="1143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7183" name="Line 15">
          <a:extLst>
            <a:ext uri="{FF2B5EF4-FFF2-40B4-BE49-F238E27FC236}">
              <a16:creationId xmlns:a16="http://schemas.microsoft.com/office/drawing/2014/main" id="{00000000-0008-0000-1200-00000F1C0000}"/>
            </a:ext>
          </a:extLst>
        </xdr:cNvPr>
        <xdr:cNvSpPr>
          <a:spLocks noChangeShapeType="1"/>
        </xdr:cNvSpPr>
      </xdr:nvSpPr>
      <xdr:spPr bwMode="auto">
        <a:xfrm>
          <a:off x="3048000" y="2686050"/>
          <a:ext cx="6096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9525</xdr:rowOff>
    </xdr:from>
    <xdr:to>
      <xdr:col>6</xdr:col>
      <xdr:colOff>0</xdr:colOff>
      <xdr:row>16</xdr:row>
      <xdr:rowOff>19050</xdr:rowOff>
    </xdr:to>
    <xdr:sp macro="" textlink="">
      <xdr:nvSpPr>
        <xdr:cNvPr id="7184" name="Line 16">
          <a:extLst>
            <a:ext uri="{FF2B5EF4-FFF2-40B4-BE49-F238E27FC236}">
              <a16:creationId xmlns:a16="http://schemas.microsoft.com/office/drawing/2014/main" id="{00000000-0008-0000-1200-0000101C0000}"/>
            </a:ext>
          </a:extLst>
        </xdr:cNvPr>
        <xdr:cNvSpPr>
          <a:spLocks noChangeShapeType="1"/>
        </xdr:cNvSpPr>
      </xdr:nvSpPr>
      <xdr:spPr bwMode="auto">
        <a:xfrm flipV="1">
          <a:off x="3657600" y="1562100"/>
          <a:ext cx="0" cy="1143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523875</xdr:colOff>
      <xdr:row>4</xdr:row>
      <xdr:rowOff>152400</xdr:rowOff>
    </xdr:from>
    <xdr:to>
      <xdr:col>6</xdr:col>
      <xdr:colOff>0</xdr:colOff>
      <xdr:row>4</xdr:row>
      <xdr:rowOff>152400</xdr:rowOff>
    </xdr:to>
    <xdr:sp macro="" textlink="">
      <xdr:nvSpPr>
        <xdr:cNvPr id="7185" name="Line 17">
          <a:extLst>
            <a:ext uri="{FF2B5EF4-FFF2-40B4-BE49-F238E27FC236}">
              <a16:creationId xmlns:a16="http://schemas.microsoft.com/office/drawing/2014/main" id="{00000000-0008-0000-1200-0000111C0000}"/>
            </a:ext>
          </a:extLst>
        </xdr:cNvPr>
        <xdr:cNvSpPr>
          <a:spLocks noChangeShapeType="1"/>
        </xdr:cNvSpPr>
      </xdr:nvSpPr>
      <xdr:spPr bwMode="auto">
        <a:xfrm>
          <a:off x="1133475" y="895350"/>
          <a:ext cx="2524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27</xdr:row>
      <xdr:rowOff>9525</xdr:rowOff>
    </xdr:from>
    <xdr:to>
      <xdr:col>4</xdr:col>
      <xdr:colOff>0</xdr:colOff>
      <xdr:row>27</xdr:row>
      <xdr:rowOff>9525</xdr:rowOff>
    </xdr:to>
    <xdr:sp macro="" textlink="">
      <xdr:nvSpPr>
        <xdr:cNvPr id="7186" name="Line 18">
          <a:extLst>
            <a:ext uri="{FF2B5EF4-FFF2-40B4-BE49-F238E27FC236}">
              <a16:creationId xmlns:a16="http://schemas.microsoft.com/office/drawing/2014/main" id="{00000000-0008-0000-1200-0000121C0000}"/>
            </a:ext>
          </a:extLst>
        </xdr:cNvPr>
        <xdr:cNvSpPr>
          <a:spLocks noChangeShapeType="1"/>
        </xdr:cNvSpPr>
      </xdr:nvSpPr>
      <xdr:spPr bwMode="auto">
        <a:xfrm>
          <a:off x="1104900" y="44767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27</xdr:row>
      <xdr:rowOff>19050</xdr:rowOff>
    </xdr:to>
    <xdr:sp macro="" textlink="">
      <xdr:nvSpPr>
        <xdr:cNvPr id="7187" name="Line 19">
          <a:extLst>
            <a:ext uri="{FF2B5EF4-FFF2-40B4-BE49-F238E27FC236}">
              <a16:creationId xmlns:a16="http://schemas.microsoft.com/office/drawing/2014/main" id="{00000000-0008-0000-1200-0000131C0000}"/>
            </a:ext>
          </a:extLst>
        </xdr:cNvPr>
        <xdr:cNvSpPr>
          <a:spLocks noChangeShapeType="1"/>
        </xdr:cNvSpPr>
      </xdr:nvSpPr>
      <xdr:spPr bwMode="auto">
        <a:xfrm flipV="1">
          <a:off x="1219200" y="904875"/>
          <a:ext cx="0" cy="358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33</xdr:row>
      <xdr:rowOff>85725</xdr:rowOff>
    </xdr:to>
    <xdr:sp macro="" textlink="">
      <xdr:nvSpPr>
        <xdr:cNvPr id="7188" name="Line 20">
          <a:extLst>
            <a:ext uri="{FF2B5EF4-FFF2-40B4-BE49-F238E27FC236}">
              <a16:creationId xmlns:a16="http://schemas.microsoft.com/office/drawing/2014/main" id="{00000000-0008-0000-1200-0000141C0000}"/>
            </a:ext>
          </a:extLst>
        </xdr:cNvPr>
        <xdr:cNvSpPr>
          <a:spLocks noChangeShapeType="1"/>
        </xdr:cNvSpPr>
      </xdr:nvSpPr>
      <xdr:spPr bwMode="auto">
        <a:xfrm>
          <a:off x="1828800" y="3819525"/>
          <a:ext cx="0" cy="1704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22</xdr:row>
      <xdr:rowOff>152400</xdr:rowOff>
    </xdr:from>
    <xdr:to>
      <xdr:col>13</xdr:col>
      <xdr:colOff>9525</xdr:colOff>
      <xdr:row>33</xdr:row>
      <xdr:rowOff>76200</xdr:rowOff>
    </xdr:to>
    <xdr:sp macro="" textlink="">
      <xdr:nvSpPr>
        <xdr:cNvPr id="7190" name="Line 22">
          <a:extLst>
            <a:ext uri="{FF2B5EF4-FFF2-40B4-BE49-F238E27FC236}">
              <a16:creationId xmlns:a16="http://schemas.microsoft.com/office/drawing/2014/main" id="{00000000-0008-0000-1200-0000161C0000}"/>
            </a:ext>
          </a:extLst>
        </xdr:cNvPr>
        <xdr:cNvSpPr>
          <a:spLocks noChangeShapeType="1"/>
        </xdr:cNvSpPr>
      </xdr:nvSpPr>
      <xdr:spPr bwMode="auto">
        <a:xfrm>
          <a:off x="7934325" y="3810000"/>
          <a:ext cx="0" cy="1704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sp macro="" textlink="">
      <xdr:nvSpPr>
        <xdr:cNvPr id="7191" name="Line 23">
          <a:extLst>
            <a:ext uri="{FF2B5EF4-FFF2-40B4-BE49-F238E27FC236}">
              <a16:creationId xmlns:a16="http://schemas.microsoft.com/office/drawing/2014/main" id="{00000000-0008-0000-1200-0000171C0000}"/>
            </a:ext>
          </a:extLst>
        </xdr:cNvPr>
        <xdr:cNvSpPr>
          <a:spLocks noChangeShapeType="1"/>
        </xdr:cNvSpPr>
      </xdr:nvSpPr>
      <xdr:spPr bwMode="auto">
        <a:xfrm flipV="1">
          <a:off x="1828800" y="5438775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13</xdr:row>
      <xdr:rowOff>47625</xdr:rowOff>
    </xdr:from>
    <xdr:to>
      <xdr:col>9</xdr:col>
      <xdr:colOff>438150</xdr:colOff>
      <xdr:row>18</xdr:row>
      <xdr:rowOff>114300</xdr:rowOff>
    </xdr:to>
    <xdr:sp macro="" textlink="">
      <xdr:nvSpPr>
        <xdr:cNvPr id="7192" name="Line 24">
          <a:extLst>
            <a:ext uri="{FF2B5EF4-FFF2-40B4-BE49-F238E27FC236}">
              <a16:creationId xmlns:a16="http://schemas.microsoft.com/office/drawing/2014/main" id="{00000000-0008-0000-1200-0000181C0000}"/>
            </a:ext>
          </a:extLst>
        </xdr:cNvPr>
        <xdr:cNvSpPr>
          <a:spLocks noChangeShapeType="1"/>
        </xdr:cNvSpPr>
      </xdr:nvSpPr>
      <xdr:spPr bwMode="auto">
        <a:xfrm flipV="1">
          <a:off x="5038725" y="2247900"/>
          <a:ext cx="885825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30</xdr:row>
      <xdr:rowOff>0</xdr:rowOff>
    </xdr:from>
    <xdr:to>
      <xdr:col>11</xdr:col>
      <xdr:colOff>600075</xdr:colOff>
      <xdr:row>30</xdr:row>
      <xdr:rowOff>0</xdr:rowOff>
    </xdr:to>
    <xdr:sp macro="" textlink="">
      <xdr:nvSpPr>
        <xdr:cNvPr id="7193" name="Line 25">
          <a:extLst>
            <a:ext uri="{FF2B5EF4-FFF2-40B4-BE49-F238E27FC236}">
              <a16:creationId xmlns:a16="http://schemas.microsoft.com/office/drawing/2014/main" id="{00000000-0008-0000-1200-0000191C0000}"/>
            </a:ext>
          </a:extLst>
        </xdr:cNvPr>
        <xdr:cNvSpPr>
          <a:spLocks noChangeShapeType="1"/>
        </xdr:cNvSpPr>
      </xdr:nvSpPr>
      <xdr:spPr bwMode="auto">
        <a:xfrm flipV="1">
          <a:off x="6105525" y="49530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22</xdr:row>
      <xdr:rowOff>66675</xdr:rowOff>
    </xdr:from>
    <xdr:to>
      <xdr:col>10</xdr:col>
      <xdr:colOff>9525</xdr:colOff>
      <xdr:row>30</xdr:row>
      <xdr:rowOff>57150</xdr:rowOff>
    </xdr:to>
    <xdr:sp macro="" textlink="">
      <xdr:nvSpPr>
        <xdr:cNvPr id="7194" name="Line 26">
          <a:extLst>
            <a:ext uri="{FF2B5EF4-FFF2-40B4-BE49-F238E27FC236}">
              <a16:creationId xmlns:a16="http://schemas.microsoft.com/office/drawing/2014/main" id="{00000000-0008-0000-1200-00001A1C0000}"/>
            </a:ext>
          </a:extLst>
        </xdr:cNvPr>
        <xdr:cNvSpPr>
          <a:spLocks noChangeShapeType="1"/>
        </xdr:cNvSpPr>
      </xdr:nvSpPr>
      <xdr:spPr bwMode="auto">
        <a:xfrm flipV="1">
          <a:off x="6105525" y="3724275"/>
          <a:ext cx="0" cy="128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</xdr:row>
      <xdr:rowOff>57150</xdr:rowOff>
    </xdr:from>
    <xdr:to>
      <xdr:col>12</xdr:col>
      <xdr:colOff>0</xdr:colOff>
      <xdr:row>30</xdr:row>
      <xdr:rowOff>47625</xdr:rowOff>
    </xdr:to>
    <xdr:sp macro="" textlink="">
      <xdr:nvSpPr>
        <xdr:cNvPr id="7195" name="Line 27">
          <a:extLst>
            <a:ext uri="{FF2B5EF4-FFF2-40B4-BE49-F238E27FC236}">
              <a16:creationId xmlns:a16="http://schemas.microsoft.com/office/drawing/2014/main" id="{00000000-0008-0000-1200-00001B1C0000}"/>
            </a:ext>
          </a:extLst>
        </xdr:cNvPr>
        <xdr:cNvSpPr>
          <a:spLocks noChangeShapeType="1"/>
        </xdr:cNvSpPr>
      </xdr:nvSpPr>
      <xdr:spPr bwMode="auto">
        <a:xfrm flipV="1">
          <a:off x="7315200" y="3714750"/>
          <a:ext cx="0" cy="128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23</xdr:row>
      <xdr:rowOff>0</xdr:rowOff>
    </xdr:from>
    <xdr:to>
      <xdr:col>10</xdr:col>
      <xdr:colOff>85725</xdr:colOff>
      <xdr:row>23</xdr:row>
      <xdr:rowOff>0</xdr:rowOff>
    </xdr:to>
    <xdr:sp macro="" textlink="">
      <xdr:nvSpPr>
        <xdr:cNvPr id="7196" name="Line 28">
          <a:extLst>
            <a:ext uri="{FF2B5EF4-FFF2-40B4-BE49-F238E27FC236}">
              <a16:creationId xmlns:a16="http://schemas.microsoft.com/office/drawing/2014/main" id="{00000000-0008-0000-1200-00001C1C0000}"/>
            </a:ext>
          </a:extLst>
        </xdr:cNvPr>
        <xdr:cNvSpPr>
          <a:spLocks noChangeShapeType="1"/>
        </xdr:cNvSpPr>
      </xdr:nvSpPr>
      <xdr:spPr bwMode="auto">
        <a:xfrm>
          <a:off x="6057900" y="381952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23</xdr:row>
      <xdr:rowOff>0</xdr:rowOff>
    </xdr:from>
    <xdr:to>
      <xdr:col>12</xdr:col>
      <xdr:colOff>66675</xdr:colOff>
      <xdr:row>23</xdr:row>
      <xdr:rowOff>0</xdr:rowOff>
    </xdr:to>
    <xdr:sp macro="" textlink="">
      <xdr:nvSpPr>
        <xdr:cNvPr id="7197" name="Line 29">
          <a:extLst>
            <a:ext uri="{FF2B5EF4-FFF2-40B4-BE49-F238E27FC236}">
              <a16:creationId xmlns:a16="http://schemas.microsoft.com/office/drawing/2014/main" id="{00000000-0008-0000-1200-00001D1C0000}"/>
            </a:ext>
          </a:extLst>
        </xdr:cNvPr>
        <xdr:cNvSpPr>
          <a:spLocks noChangeShapeType="1"/>
        </xdr:cNvSpPr>
      </xdr:nvSpPr>
      <xdr:spPr bwMode="auto">
        <a:xfrm flipV="1">
          <a:off x="7248525" y="3819525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5</xdr:row>
      <xdr:rowOff>0</xdr:rowOff>
    </xdr:from>
    <xdr:to>
      <xdr:col>5</xdr:col>
      <xdr:colOff>247650</xdr:colOff>
      <xdr:row>27</xdr:row>
      <xdr:rowOff>9525</xdr:rowOff>
    </xdr:to>
    <xdr:sp macro="" textlink="">
      <xdr:nvSpPr>
        <xdr:cNvPr id="7198" name="Line 30">
          <a:extLst>
            <a:ext uri="{FF2B5EF4-FFF2-40B4-BE49-F238E27FC236}">
              <a16:creationId xmlns:a16="http://schemas.microsoft.com/office/drawing/2014/main" id="{00000000-0008-0000-1200-00001E1C0000}"/>
            </a:ext>
          </a:extLst>
        </xdr:cNvPr>
        <xdr:cNvSpPr>
          <a:spLocks noChangeShapeType="1"/>
        </xdr:cNvSpPr>
      </xdr:nvSpPr>
      <xdr:spPr bwMode="auto">
        <a:xfrm flipV="1">
          <a:off x="1390650" y="904875"/>
          <a:ext cx="1905000" cy="3571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361950</xdr:colOff>
      <xdr:row>4</xdr:row>
      <xdr:rowOff>142875</xdr:rowOff>
    </xdr:from>
    <xdr:to>
      <xdr:col>13</xdr:col>
      <xdr:colOff>466725</xdr:colOff>
      <xdr:row>27</xdr:row>
      <xdr:rowOff>0</xdr:rowOff>
    </xdr:to>
    <xdr:sp macro="" textlink="">
      <xdr:nvSpPr>
        <xdr:cNvPr id="7199" name="Line 31">
          <a:extLst>
            <a:ext uri="{FF2B5EF4-FFF2-40B4-BE49-F238E27FC236}">
              <a16:creationId xmlns:a16="http://schemas.microsoft.com/office/drawing/2014/main" id="{00000000-0008-0000-1200-00001F1C0000}"/>
            </a:ext>
          </a:extLst>
        </xdr:cNvPr>
        <xdr:cNvSpPr>
          <a:spLocks noChangeShapeType="1"/>
        </xdr:cNvSpPr>
      </xdr:nvSpPr>
      <xdr:spPr bwMode="auto">
        <a:xfrm flipH="1" flipV="1">
          <a:off x="6457950" y="885825"/>
          <a:ext cx="1933575" cy="3581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27</xdr:row>
      <xdr:rowOff>28575</xdr:rowOff>
    </xdr:from>
    <xdr:to>
      <xdr:col>13</xdr:col>
      <xdr:colOff>476250</xdr:colOff>
      <xdr:row>27</xdr:row>
      <xdr:rowOff>28575</xdr:rowOff>
    </xdr:to>
    <xdr:sp macro="" textlink="">
      <xdr:nvSpPr>
        <xdr:cNvPr id="7200" name="Line 32">
          <a:extLst>
            <a:ext uri="{FF2B5EF4-FFF2-40B4-BE49-F238E27FC236}">
              <a16:creationId xmlns:a16="http://schemas.microsoft.com/office/drawing/2014/main" id="{00000000-0008-0000-1200-0000201C0000}"/>
            </a:ext>
          </a:extLst>
        </xdr:cNvPr>
        <xdr:cNvSpPr>
          <a:spLocks noChangeShapeType="1"/>
        </xdr:cNvSpPr>
      </xdr:nvSpPr>
      <xdr:spPr bwMode="auto">
        <a:xfrm flipH="1" flipV="1">
          <a:off x="1400175" y="4495800"/>
          <a:ext cx="7000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4</xdr:row>
      <xdr:rowOff>142875</xdr:rowOff>
    </xdr:from>
    <xdr:to>
      <xdr:col>10</xdr:col>
      <xdr:colOff>371475</xdr:colOff>
      <xdr:row>5</xdr:row>
      <xdr:rowOff>0</xdr:rowOff>
    </xdr:to>
    <xdr:sp macro="" textlink="">
      <xdr:nvSpPr>
        <xdr:cNvPr id="7201" name="Line 33">
          <a:extLst>
            <a:ext uri="{FF2B5EF4-FFF2-40B4-BE49-F238E27FC236}">
              <a16:creationId xmlns:a16="http://schemas.microsoft.com/office/drawing/2014/main" id="{00000000-0008-0000-1200-0000211C0000}"/>
            </a:ext>
          </a:extLst>
        </xdr:cNvPr>
        <xdr:cNvSpPr>
          <a:spLocks noChangeShapeType="1"/>
        </xdr:cNvSpPr>
      </xdr:nvSpPr>
      <xdr:spPr bwMode="auto">
        <a:xfrm flipH="1">
          <a:off x="3276600" y="885825"/>
          <a:ext cx="3190875" cy="190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6</xdr:row>
      <xdr:rowOff>95250</xdr:rowOff>
    </xdr:from>
    <xdr:to>
      <xdr:col>10</xdr:col>
      <xdr:colOff>371475</xdr:colOff>
      <xdr:row>11</xdr:row>
      <xdr:rowOff>66675</xdr:rowOff>
    </xdr:to>
    <xdr:sp macro="" textlink="">
      <xdr:nvSpPr>
        <xdr:cNvPr id="7212" name="Oval 44" descr="Light downward diagonal">
          <a:extLst>
            <a:ext uri="{FF2B5EF4-FFF2-40B4-BE49-F238E27FC236}">
              <a16:creationId xmlns:a16="http://schemas.microsoft.com/office/drawing/2014/main" id="{00000000-0008-0000-1200-00002C1C0000}"/>
            </a:ext>
          </a:extLst>
        </xdr:cNvPr>
        <xdr:cNvSpPr>
          <a:spLocks noChangeArrowheads="1"/>
        </xdr:cNvSpPr>
      </xdr:nvSpPr>
      <xdr:spPr bwMode="auto">
        <a:xfrm>
          <a:off x="5734050" y="116205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6</xdr:row>
      <xdr:rowOff>85725</xdr:rowOff>
    </xdr:from>
    <xdr:to>
      <xdr:col>8</xdr:col>
      <xdr:colOff>361950</xdr:colOff>
      <xdr:row>11</xdr:row>
      <xdr:rowOff>57150</xdr:rowOff>
    </xdr:to>
    <xdr:sp macro="" textlink="">
      <xdr:nvSpPr>
        <xdr:cNvPr id="7213" name="Oval 45" descr="Light downward diagonal">
          <a:extLst>
            <a:ext uri="{FF2B5EF4-FFF2-40B4-BE49-F238E27FC236}">
              <a16:creationId xmlns:a16="http://schemas.microsoft.com/office/drawing/2014/main" id="{00000000-0008-0000-1200-00002D1C0000}"/>
            </a:ext>
          </a:extLst>
        </xdr:cNvPr>
        <xdr:cNvSpPr>
          <a:spLocks noChangeArrowheads="1"/>
        </xdr:cNvSpPr>
      </xdr:nvSpPr>
      <xdr:spPr bwMode="auto">
        <a:xfrm>
          <a:off x="4505325" y="1152525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247650</xdr:colOff>
      <xdr:row>13</xdr:row>
      <xdr:rowOff>85725</xdr:rowOff>
    </xdr:from>
    <xdr:to>
      <xdr:col>11</xdr:col>
      <xdr:colOff>371475</xdr:colOff>
      <xdr:row>18</xdr:row>
      <xdr:rowOff>57150</xdr:rowOff>
    </xdr:to>
    <xdr:sp macro="" textlink="">
      <xdr:nvSpPr>
        <xdr:cNvPr id="7214" name="Oval 46" descr="Light downward diagonal">
          <a:extLst>
            <a:ext uri="{FF2B5EF4-FFF2-40B4-BE49-F238E27FC236}">
              <a16:creationId xmlns:a16="http://schemas.microsoft.com/office/drawing/2014/main" id="{00000000-0008-0000-1200-00002E1C0000}"/>
            </a:ext>
          </a:extLst>
        </xdr:cNvPr>
        <xdr:cNvSpPr>
          <a:spLocks noChangeArrowheads="1"/>
        </xdr:cNvSpPr>
      </xdr:nvSpPr>
      <xdr:spPr bwMode="auto">
        <a:xfrm>
          <a:off x="6343650" y="228600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247650</xdr:colOff>
      <xdr:row>20</xdr:row>
      <xdr:rowOff>76200</xdr:rowOff>
    </xdr:from>
    <xdr:to>
      <xdr:col>8</xdr:col>
      <xdr:colOff>371475</xdr:colOff>
      <xdr:row>25</xdr:row>
      <xdr:rowOff>47625</xdr:rowOff>
    </xdr:to>
    <xdr:sp macro="" textlink="">
      <xdr:nvSpPr>
        <xdr:cNvPr id="7215" name="Oval 47" descr="Light downward diagonal">
          <a:extLst>
            <a:ext uri="{FF2B5EF4-FFF2-40B4-BE49-F238E27FC236}">
              <a16:creationId xmlns:a16="http://schemas.microsoft.com/office/drawing/2014/main" id="{00000000-0008-0000-1200-00002F1C0000}"/>
            </a:ext>
          </a:extLst>
        </xdr:cNvPr>
        <xdr:cNvSpPr>
          <a:spLocks noChangeArrowheads="1"/>
        </xdr:cNvSpPr>
      </xdr:nvSpPr>
      <xdr:spPr bwMode="auto">
        <a:xfrm>
          <a:off x="4514850" y="340995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20</xdr:row>
      <xdr:rowOff>95250</xdr:rowOff>
    </xdr:from>
    <xdr:to>
      <xdr:col>6</xdr:col>
      <xdr:colOff>371475</xdr:colOff>
      <xdr:row>25</xdr:row>
      <xdr:rowOff>66675</xdr:rowOff>
    </xdr:to>
    <xdr:sp macro="" textlink="">
      <xdr:nvSpPr>
        <xdr:cNvPr id="7216" name="Oval 48" descr="Light downward diagonal">
          <a:extLst>
            <a:ext uri="{FF2B5EF4-FFF2-40B4-BE49-F238E27FC236}">
              <a16:creationId xmlns:a16="http://schemas.microsoft.com/office/drawing/2014/main" id="{00000000-0008-0000-1200-0000301C0000}"/>
            </a:ext>
          </a:extLst>
        </xdr:cNvPr>
        <xdr:cNvSpPr>
          <a:spLocks noChangeArrowheads="1"/>
        </xdr:cNvSpPr>
      </xdr:nvSpPr>
      <xdr:spPr bwMode="auto">
        <a:xfrm>
          <a:off x="3295650" y="342900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20</xdr:row>
      <xdr:rowOff>95250</xdr:rowOff>
    </xdr:from>
    <xdr:to>
      <xdr:col>4</xdr:col>
      <xdr:colOff>361950</xdr:colOff>
      <xdr:row>25</xdr:row>
      <xdr:rowOff>66675</xdr:rowOff>
    </xdr:to>
    <xdr:sp macro="" textlink="">
      <xdr:nvSpPr>
        <xdr:cNvPr id="7217" name="Oval 49" descr="Light downward diagonal">
          <a:extLst>
            <a:ext uri="{FF2B5EF4-FFF2-40B4-BE49-F238E27FC236}">
              <a16:creationId xmlns:a16="http://schemas.microsoft.com/office/drawing/2014/main" id="{00000000-0008-0000-1200-0000311C0000}"/>
            </a:ext>
          </a:extLst>
        </xdr:cNvPr>
        <xdr:cNvSpPr>
          <a:spLocks noChangeArrowheads="1"/>
        </xdr:cNvSpPr>
      </xdr:nvSpPr>
      <xdr:spPr bwMode="auto">
        <a:xfrm>
          <a:off x="2066925" y="342900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247650</xdr:colOff>
      <xdr:row>13</xdr:row>
      <xdr:rowOff>85725</xdr:rowOff>
    </xdr:from>
    <xdr:to>
      <xdr:col>7</xdr:col>
      <xdr:colOff>371475</xdr:colOff>
      <xdr:row>18</xdr:row>
      <xdr:rowOff>57150</xdr:rowOff>
    </xdr:to>
    <xdr:sp macro="" textlink="">
      <xdr:nvSpPr>
        <xdr:cNvPr id="7218" name="Oval 50" descr="Light downward diagonal">
          <a:extLst>
            <a:ext uri="{FF2B5EF4-FFF2-40B4-BE49-F238E27FC236}">
              <a16:creationId xmlns:a16="http://schemas.microsoft.com/office/drawing/2014/main" id="{00000000-0008-0000-1200-0000321C0000}"/>
            </a:ext>
          </a:extLst>
        </xdr:cNvPr>
        <xdr:cNvSpPr>
          <a:spLocks noChangeArrowheads="1"/>
        </xdr:cNvSpPr>
      </xdr:nvSpPr>
      <xdr:spPr bwMode="auto">
        <a:xfrm>
          <a:off x="3905250" y="2286000"/>
          <a:ext cx="733425" cy="78105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352425</xdr:colOff>
      <xdr:row>14</xdr:row>
      <xdr:rowOff>66675</xdr:rowOff>
    </xdr:from>
    <xdr:to>
      <xdr:col>11</xdr:col>
      <xdr:colOff>257175</xdr:colOff>
      <xdr:row>17</xdr:row>
      <xdr:rowOff>95250</xdr:rowOff>
    </xdr:to>
    <xdr:sp macro="" textlink="">
      <xdr:nvSpPr>
        <xdr:cNvPr id="7221" name="Line 53">
          <a:extLst>
            <a:ext uri="{FF2B5EF4-FFF2-40B4-BE49-F238E27FC236}">
              <a16:creationId xmlns:a16="http://schemas.microsoft.com/office/drawing/2014/main" id="{00000000-0008-0000-1200-0000351C0000}"/>
            </a:ext>
          </a:extLst>
        </xdr:cNvPr>
        <xdr:cNvSpPr>
          <a:spLocks noChangeShapeType="1"/>
        </xdr:cNvSpPr>
      </xdr:nvSpPr>
      <xdr:spPr bwMode="auto">
        <a:xfrm flipV="1">
          <a:off x="6448425" y="2428875"/>
          <a:ext cx="5143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15</xdr:row>
      <xdr:rowOff>9525</xdr:rowOff>
    </xdr:from>
    <xdr:to>
      <xdr:col>10</xdr:col>
      <xdr:colOff>590550</xdr:colOff>
      <xdr:row>16</xdr:row>
      <xdr:rowOff>66675</xdr:rowOff>
    </xdr:to>
    <xdr:sp macro="" textlink="">
      <xdr:nvSpPr>
        <xdr:cNvPr id="7222" name="Text Box 54">
          <a:extLst>
            <a:ext uri="{FF2B5EF4-FFF2-40B4-BE49-F238E27FC236}">
              <a16:creationId xmlns:a16="http://schemas.microsoft.com/office/drawing/2014/main" id="{00000000-0008-0000-1200-0000361C0000}"/>
            </a:ext>
          </a:extLst>
        </xdr:cNvPr>
        <xdr:cNvSpPr txBox="1">
          <a:spLocks noChangeArrowheads="1"/>
        </xdr:cNvSpPr>
      </xdr:nvSpPr>
      <xdr:spPr bwMode="auto">
        <a:xfrm>
          <a:off x="6448425" y="25336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de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Cu</a:t>
          </a:r>
          <a:endParaRPr lang="de-CH"/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361950</xdr:colOff>
      <xdr:row>27</xdr:row>
      <xdr:rowOff>19050</xdr:rowOff>
    </xdr:to>
    <xdr:sp macro="" textlink="">
      <xdr:nvSpPr>
        <xdr:cNvPr id="7223" name="Line 55">
          <a:extLst>
            <a:ext uri="{FF2B5EF4-FFF2-40B4-BE49-F238E27FC236}">
              <a16:creationId xmlns:a16="http://schemas.microsoft.com/office/drawing/2014/main" id="{00000000-0008-0000-1200-0000371C0000}"/>
            </a:ext>
          </a:extLst>
        </xdr:cNvPr>
        <xdr:cNvSpPr>
          <a:spLocks noChangeShapeType="1"/>
        </xdr:cNvSpPr>
      </xdr:nvSpPr>
      <xdr:spPr bwMode="auto">
        <a:xfrm>
          <a:off x="7315200" y="3819525"/>
          <a:ext cx="3619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371475</xdr:colOff>
      <xdr:row>27</xdr:row>
      <xdr:rowOff>38100</xdr:rowOff>
    </xdr:from>
    <xdr:to>
      <xdr:col>12</xdr:col>
      <xdr:colOff>371475</xdr:colOff>
      <xdr:row>30</xdr:row>
      <xdr:rowOff>19050</xdr:rowOff>
    </xdr:to>
    <xdr:sp macro="" textlink="">
      <xdr:nvSpPr>
        <xdr:cNvPr id="7224" name="Line 56">
          <a:extLst>
            <a:ext uri="{FF2B5EF4-FFF2-40B4-BE49-F238E27FC236}">
              <a16:creationId xmlns:a16="http://schemas.microsoft.com/office/drawing/2014/main" id="{00000000-0008-0000-1200-0000381C0000}"/>
            </a:ext>
          </a:extLst>
        </xdr:cNvPr>
        <xdr:cNvSpPr>
          <a:spLocks noChangeShapeType="1"/>
        </xdr:cNvSpPr>
      </xdr:nvSpPr>
      <xdr:spPr bwMode="auto">
        <a:xfrm>
          <a:off x="7686675" y="450532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27</xdr:row>
      <xdr:rowOff>38100</xdr:rowOff>
    </xdr:from>
    <xdr:to>
      <xdr:col>13</xdr:col>
      <xdr:colOff>476250</xdr:colOff>
      <xdr:row>30</xdr:row>
      <xdr:rowOff>19050</xdr:rowOff>
    </xdr:to>
    <xdr:sp macro="" textlink="">
      <xdr:nvSpPr>
        <xdr:cNvPr id="7225" name="Line 57">
          <a:extLst>
            <a:ext uri="{FF2B5EF4-FFF2-40B4-BE49-F238E27FC236}">
              <a16:creationId xmlns:a16="http://schemas.microsoft.com/office/drawing/2014/main" id="{00000000-0008-0000-1200-0000391C0000}"/>
            </a:ext>
          </a:extLst>
        </xdr:cNvPr>
        <xdr:cNvSpPr>
          <a:spLocks noChangeShapeType="1"/>
        </xdr:cNvSpPr>
      </xdr:nvSpPr>
      <xdr:spPr bwMode="auto">
        <a:xfrm>
          <a:off x="8401050" y="450532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390525</xdr:colOff>
      <xdr:row>30</xdr:row>
      <xdr:rowOff>0</xdr:rowOff>
    </xdr:from>
    <xdr:to>
      <xdr:col>13</xdr:col>
      <xdr:colOff>476250</xdr:colOff>
      <xdr:row>30</xdr:row>
      <xdr:rowOff>0</xdr:rowOff>
    </xdr:to>
    <xdr:sp macro="" textlink="">
      <xdr:nvSpPr>
        <xdr:cNvPr id="7226" name="Line 58">
          <a:extLst>
            <a:ext uri="{FF2B5EF4-FFF2-40B4-BE49-F238E27FC236}">
              <a16:creationId xmlns:a16="http://schemas.microsoft.com/office/drawing/2014/main" id="{00000000-0008-0000-1200-00003A1C0000}"/>
            </a:ext>
          </a:extLst>
        </xdr:cNvPr>
        <xdr:cNvSpPr>
          <a:spLocks noChangeShapeType="1"/>
        </xdr:cNvSpPr>
      </xdr:nvSpPr>
      <xdr:spPr bwMode="auto">
        <a:xfrm flipV="1">
          <a:off x="7705725" y="4953000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30</xdr:row>
      <xdr:rowOff>0</xdr:rowOff>
    </xdr:from>
    <xdr:to>
      <xdr:col>12</xdr:col>
      <xdr:colOff>361950</xdr:colOff>
      <xdr:row>30</xdr:row>
      <xdr:rowOff>0</xdr:rowOff>
    </xdr:to>
    <xdr:sp macro="" textlink="">
      <xdr:nvSpPr>
        <xdr:cNvPr id="7227" name="Line 59">
          <a:extLst>
            <a:ext uri="{FF2B5EF4-FFF2-40B4-BE49-F238E27FC236}">
              <a16:creationId xmlns:a16="http://schemas.microsoft.com/office/drawing/2014/main" id="{00000000-0008-0000-1200-00003B1C0000}"/>
            </a:ext>
          </a:extLst>
        </xdr:cNvPr>
        <xdr:cNvSpPr>
          <a:spLocks noChangeShapeType="1"/>
        </xdr:cNvSpPr>
      </xdr:nvSpPr>
      <xdr:spPr bwMode="auto">
        <a:xfrm>
          <a:off x="7343775" y="495300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0</xdr:rowOff>
    </xdr:from>
    <xdr:to>
      <xdr:col>13</xdr:col>
      <xdr:colOff>38100</xdr:colOff>
      <xdr:row>27</xdr:row>
      <xdr:rowOff>19050</xdr:rowOff>
    </xdr:to>
    <xdr:graphicFrame macro="">
      <xdr:nvGraphicFramePr>
        <xdr:cNvPr id="4098" name="Diagramm 2">
          <a:extLst>
            <a:ext uri="{FF2B5EF4-FFF2-40B4-BE49-F238E27FC236}">
              <a16:creationId xmlns:a16="http://schemas.microsoft.com/office/drawing/2014/main" id="{00000000-0008-0000-1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123825</xdr:rowOff>
    </xdr:from>
    <xdr:to>
      <xdr:col>12</xdr:col>
      <xdr:colOff>457200</xdr:colOff>
      <xdr:row>27</xdr:row>
      <xdr:rowOff>28575</xdr:rowOff>
    </xdr:to>
    <xdr:graphicFrame macro="">
      <xdr:nvGraphicFramePr>
        <xdr:cNvPr id="3073" name="Diagramm 1">
          <a:extLst>
            <a:ext uri="{FF2B5EF4-FFF2-40B4-BE49-F238E27FC236}">
              <a16:creationId xmlns:a16="http://schemas.microsoft.com/office/drawing/2014/main" id="{00000000-0008-0000-14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7409" name="Oval 1">
          <a:extLst>
            <a:ext uri="{FF2B5EF4-FFF2-40B4-BE49-F238E27FC236}">
              <a16:creationId xmlns:a16="http://schemas.microsoft.com/office/drawing/2014/main" id="{00000000-0008-0000-0300-00000144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7410" name="Oval 2">
          <a:extLst>
            <a:ext uri="{FF2B5EF4-FFF2-40B4-BE49-F238E27FC236}">
              <a16:creationId xmlns:a16="http://schemas.microsoft.com/office/drawing/2014/main" id="{00000000-0008-0000-0300-00000244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0</xdr:colOff>
      <xdr:row>3</xdr:row>
      <xdr:rowOff>152400</xdr:rowOff>
    </xdr:to>
    <xdr:sp macro="" textlink="">
      <xdr:nvSpPr>
        <xdr:cNvPr id="17411" name="Oval 3">
          <a:extLst>
            <a:ext uri="{FF2B5EF4-FFF2-40B4-BE49-F238E27FC236}">
              <a16:creationId xmlns:a16="http://schemas.microsoft.com/office/drawing/2014/main" id="{00000000-0008-0000-0300-00000344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0</xdr:colOff>
      <xdr:row>3</xdr:row>
      <xdr:rowOff>152400</xdr:rowOff>
    </xdr:to>
    <xdr:sp macro="" textlink="">
      <xdr:nvSpPr>
        <xdr:cNvPr id="17412" name="Oval 4">
          <a:extLst>
            <a:ext uri="{FF2B5EF4-FFF2-40B4-BE49-F238E27FC236}">
              <a16:creationId xmlns:a16="http://schemas.microsoft.com/office/drawing/2014/main" id="{00000000-0008-0000-0300-00000444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0</xdr:colOff>
      <xdr:row>3</xdr:row>
      <xdr:rowOff>9525</xdr:rowOff>
    </xdr:to>
    <xdr:sp macro="" textlink="">
      <xdr:nvSpPr>
        <xdr:cNvPr id="17413" name="Oval 5">
          <a:extLst>
            <a:ext uri="{FF2B5EF4-FFF2-40B4-BE49-F238E27FC236}">
              <a16:creationId xmlns:a16="http://schemas.microsoft.com/office/drawing/2014/main" id="{00000000-0008-0000-0300-00000544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414" name="Oval 6">
          <a:extLst>
            <a:ext uri="{FF2B5EF4-FFF2-40B4-BE49-F238E27FC236}">
              <a16:creationId xmlns:a16="http://schemas.microsoft.com/office/drawing/2014/main" id="{00000000-0008-0000-0300-00000644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415" name="Oval 7">
          <a:extLst>
            <a:ext uri="{FF2B5EF4-FFF2-40B4-BE49-F238E27FC236}">
              <a16:creationId xmlns:a16="http://schemas.microsoft.com/office/drawing/2014/main" id="{00000000-0008-0000-0300-00000744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416" name="Oval 8">
          <a:extLst>
            <a:ext uri="{FF2B5EF4-FFF2-40B4-BE49-F238E27FC236}">
              <a16:creationId xmlns:a16="http://schemas.microsoft.com/office/drawing/2014/main" id="{00000000-0008-0000-0300-00000844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7417" name="Oval 9">
          <a:extLst>
            <a:ext uri="{FF2B5EF4-FFF2-40B4-BE49-F238E27FC236}">
              <a16:creationId xmlns:a16="http://schemas.microsoft.com/office/drawing/2014/main" id="{00000000-0008-0000-0300-00000944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418" name="Oval 10">
          <a:extLst>
            <a:ext uri="{FF2B5EF4-FFF2-40B4-BE49-F238E27FC236}">
              <a16:creationId xmlns:a16="http://schemas.microsoft.com/office/drawing/2014/main" id="{00000000-0008-0000-0300-00000A44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419" name="Oval 11">
          <a:extLst>
            <a:ext uri="{FF2B5EF4-FFF2-40B4-BE49-F238E27FC236}">
              <a16:creationId xmlns:a16="http://schemas.microsoft.com/office/drawing/2014/main" id="{00000000-0008-0000-0300-00000B44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</xdr:row>
      <xdr:rowOff>152400</xdr:rowOff>
    </xdr:from>
    <xdr:to>
      <xdr:col>0</xdr:col>
      <xdr:colOff>0</xdr:colOff>
      <xdr:row>2</xdr:row>
      <xdr:rowOff>152400</xdr:rowOff>
    </xdr:to>
    <xdr:sp macro="" textlink="">
      <xdr:nvSpPr>
        <xdr:cNvPr id="17420" name="Oval 12">
          <a:extLst>
            <a:ext uri="{FF2B5EF4-FFF2-40B4-BE49-F238E27FC236}">
              <a16:creationId xmlns:a16="http://schemas.microsoft.com/office/drawing/2014/main" id="{00000000-0008-0000-0300-00000C440000}"/>
            </a:ext>
          </a:extLst>
        </xdr:cNvPr>
        <xdr:cNvSpPr>
          <a:spLocks noChangeArrowheads="1"/>
        </xdr:cNvSpPr>
      </xdr:nvSpPr>
      <xdr:spPr bwMode="auto">
        <a:xfrm>
          <a:off x="0" y="48577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7421" name="Oval 13">
          <a:extLst>
            <a:ext uri="{FF2B5EF4-FFF2-40B4-BE49-F238E27FC236}">
              <a16:creationId xmlns:a16="http://schemas.microsoft.com/office/drawing/2014/main" id="{00000000-0008-0000-0300-00000D44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7422" name="Oval 14">
          <a:extLst>
            <a:ext uri="{FF2B5EF4-FFF2-40B4-BE49-F238E27FC236}">
              <a16:creationId xmlns:a16="http://schemas.microsoft.com/office/drawing/2014/main" id="{00000000-0008-0000-0300-00000E44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7423" name="Oval 15">
          <a:extLst>
            <a:ext uri="{FF2B5EF4-FFF2-40B4-BE49-F238E27FC236}">
              <a16:creationId xmlns:a16="http://schemas.microsoft.com/office/drawing/2014/main" id="{00000000-0008-0000-0300-00000F44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7</xdr:col>
      <xdr:colOff>171450</xdr:colOff>
      <xdr:row>4</xdr:row>
      <xdr:rowOff>0</xdr:rowOff>
    </xdr:to>
    <xdr:sp macro="" textlink="">
      <xdr:nvSpPr>
        <xdr:cNvPr id="17457" name="Oval 49">
          <a:extLst>
            <a:ext uri="{FF2B5EF4-FFF2-40B4-BE49-F238E27FC236}">
              <a16:creationId xmlns:a16="http://schemas.microsoft.com/office/drawing/2014/main" id="{00000000-0008-0000-0300-000031440000}"/>
            </a:ext>
          </a:extLst>
        </xdr:cNvPr>
        <xdr:cNvSpPr>
          <a:spLocks noChangeArrowheads="1"/>
        </xdr:cNvSpPr>
      </xdr:nvSpPr>
      <xdr:spPr bwMode="auto">
        <a:xfrm>
          <a:off x="6238875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3</xdr:row>
      <xdr:rowOff>0</xdr:rowOff>
    </xdr:from>
    <xdr:to>
      <xdr:col>7</xdr:col>
      <xdr:colOff>333375</xdr:colOff>
      <xdr:row>4</xdr:row>
      <xdr:rowOff>0</xdr:rowOff>
    </xdr:to>
    <xdr:sp macro="" textlink="">
      <xdr:nvSpPr>
        <xdr:cNvPr id="17458" name="Oval 50">
          <a:extLst>
            <a:ext uri="{FF2B5EF4-FFF2-40B4-BE49-F238E27FC236}">
              <a16:creationId xmlns:a16="http://schemas.microsoft.com/office/drawing/2014/main" id="{00000000-0008-0000-0300-000032440000}"/>
            </a:ext>
          </a:extLst>
        </xdr:cNvPr>
        <xdr:cNvSpPr>
          <a:spLocks noChangeArrowheads="1"/>
        </xdr:cNvSpPr>
      </xdr:nvSpPr>
      <xdr:spPr bwMode="auto">
        <a:xfrm>
          <a:off x="6400800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2</xdr:row>
      <xdr:rowOff>152400</xdr:rowOff>
    </xdr:from>
    <xdr:to>
      <xdr:col>7</xdr:col>
      <xdr:colOff>495300</xdr:colOff>
      <xdr:row>3</xdr:row>
      <xdr:rowOff>152400</xdr:rowOff>
    </xdr:to>
    <xdr:sp macro="" textlink="">
      <xdr:nvSpPr>
        <xdr:cNvPr id="17459" name="Oval 51">
          <a:extLst>
            <a:ext uri="{FF2B5EF4-FFF2-40B4-BE49-F238E27FC236}">
              <a16:creationId xmlns:a16="http://schemas.microsoft.com/office/drawing/2014/main" id="{00000000-0008-0000-0300-000033440000}"/>
            </a:ext>
          </a:extLst>
        </xdr:cNvPr>
        <xdr:cNvSpPr>
          <a:spLocks noChangeArrowheads="1"/>
        </xdr:cNvSpPr>
      </xdr:nvSpPr>
      <xdr:spPr bwMode="auto">
        <a:xfrm>
          <a:off x="6562725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504825</xdr:colOff>
      <xdr:row>2</xdr:row>
      <xdr:rowOff>152400</xdr:rowOff>
    </xdr:from>
    <xdr:to>
      <xdr:col>7</xdr:col>
      <xdr:colOff>657225</xdr:colOff>
      <xdr:row>3</xdr:row>
      <xdr:rowOff>152400</xdr:rowOff>
    </xdr:to>
    <xdr:sp macro="" textlink="">
      <xdr:nvSpPr>
        <xdr:cNvPr id="17460" name="Oval 52">
          <a:extLst>
            <a:ext uri="{FF2B5EF4-FFF2-40B4-BE49-F238E27FC236}">
              <a16:creationId xmlns:a16="http://schemas.microsoft.com/office/drawing/2014/main" id="{00000000-0008-0000-0300-000034440000}"/>
            </a:ext>
          </a:extLst>
        </xdr:cNvPr>
        <xdr:cNvSpPr>
          <a:spLocks noChangeArrowheads="1"/>
        </xdr:cNvSpPr>
      </xdr:nvSpPr>
      <xdr:spPr bwMode="auto">
        <a:xfrm>
          <a:off x="6724650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2</xdr:row>
      <xdr:rowOff>9525</xdr:rowOff>
    </xdr:from>
    <xdr:to>
      <xdr:col>7</xdr:col>
      <xdr:colOff>247650</xdr:colOff>
      <xdr:row>3</xdr:row>
      <xdr:rowOff>9525</xdr:rowOff>
    </xdr:to>
    <xdr:sp macro="" textlink="">
      <xdr:nvSpPr>
        <xdr:cNvPr id="17461" name="Oval 53">
          <a:extLst>
            <a:ext uri="{FF2B5EF4-FFF2-40B4-BE49-F238E27FC236}">
              <a16:creationId xmlns:a16="http://schemas.microsoft.com/office/drawing/2014/main" id="{00000000-0008-0000-0300-000035440000}"/>
            </a:ext>
          </a:extLst>
        </xdr:cNvPr>
        <xdr:cNvSpPr>
          <a:spLocks noChangeArrowheads="1"/>
        </xdr:cNvSpPr>
      </xdr:nvSpPr>
      <xdr:spPr bwMode="auto">
        <a:xfrm>
          <a:off x="6315075" y="5048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2</xdr:row>
      <xdr:rowOff>0</xdr:rowOff>
    </xdr:from>
    <xdr:to>
      <xdr:col>7</xdr:col>
      <xdr:colOff>409575</xdr:colOff>
      <xdr:row>3</xdr:row>
      <xdr:rowOff>0</xdr:rowOff>
    </xdr:to>
    <xdr:sp macro="" textlink="">
      <xdr:nvSpPr>
        <xdr:cNvPr id="17462" name="Oval 54">
          <a:extLst>
            <a:ext uri="{FF2B5EF4-FFF2-40B4-BE49-F238E27FC236}">
              <a16:creationId xmlns:a16="http://schemas.microsoft.com/office/drawing/2014/main" id="{00000000-0008-0000-0300-000036440000}"/>
            </a:ext>
          </a:extLst>
        </xdr:cNvPr>
        <xdr:cNvSpPr>
          <a:spLocks noChangeArrowheads="1"/>
        </xdr:cNvSpPr>
      </xdr:nvSpPr>
      <xdr:spPr bwMode="auto">
        <a:xfrm>
          <a:off x="64770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2</xdr:row>
      <xdr:rowOff>0</xdr:rowOff>
    </xdr:from>
    <xdr:to>
      <xdr:col>7</xdr:col>
      <xdr:colOff>571500</xdr:colOff>
      <xdr:row>3</xdr:row>
      <xdr:rowOff>0</xdr:rowOff>
    </xdr:to>
    <xdr:sp macro="" textlink="">
      <xdr:nvSpPr>
        <xdr:cNvPr id="17463" name="Oval 55">
          <a:extLst>
            <a:ext uri="{FF2B5EF4-FFF2-40B4-BE49-F238E27FC236}">
              <a16:creationId xmlns:a16="http://schemas.microsoft.com/office/drawing/2014/main" id="{00000000-0008-0000-0300-000037440000}"/>
            </a:ext>
          </a:extLst>
        </xdr:cNvPr>
        <xdr:cNvSpPr>
          <a:spLocks noChangeArrowheads="1"/>
        </xdr:cNvSpPr>
      </xdr:nvSpPr>
      <xdr:spPr bwMode="auto">
        <a:xfrm>
          <a:off x="6638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</xdr:row>
      <xdr:rowOff>0</xdr:rowOff>
    </xdr:from>
    <xdr:to>
      <xdr:col>8</xdr:col>
      <xdr:colOff>190500</xdr:colOff>
      <xdr:row>3</xdr:row>
      <xdr:rowOff>0</xdr:rowOff>
    </xdr:to>
    <xdr:sp macro="" textlink="">
      <xdr:nvSpPr>
        <xdr:cNvPr id="17464" name="Oval 56">
          <a:extLst>
            <a:ext uri="{FF2B5EF4-FFF2-40B4-BE49-F238E27FC236}">
              <a16:creationId xmlns:a16="http://schemas.microsoft.com/office/drawing/2014/main" id="{00000000-0008-0000-0300-000038440000}"/>
            </a:ext>
          </a:extLst>
        </xdr:cNvPr>
        <xdr:cNvSpPr>
          <a:spLocks noChangeArrowheads="1"/>
        </xdr:cNvSpPr>
      </xdr:nvSpPr>
      <xdr:spPr bwMode="auto">
        <a:xfrm>
          <a:off x="7019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542925</xdr:colOff>
      <xdr:row>3</xdr:row>
      <xdr:rowOff>9525</xdr:rowOff>
    </xdr:from>
    <xdr:to>
      <xdr:col>8</xdr:col>
      <xdr:colOff>695325</xdr:colOff>
      <xdr:row>4</xdr:row>
      <xdr:rowOff>9525</xdr:rowOff>
    </xdr:to>
    <xdr:sp macro="" textlink="">
      <xdr:nvSpPr>
        <xdr:cNvPr id="17465" name="Oval 57">
          <a:extLst>
            <a:ext uri="{FF2B5EF4-FFF2-40B4-BE49-F238E27FC236}">
              <a16:creationId xmlns:a16="http://schemas.microsoft.com/office/drawing/2014/main" id="{00000000-0008-0000-0300-000039440000}"/>
            </a:ext>
          </a:extLst>
        </xdr:cNvPr>
        <xdr:cNvSpPr>
          <a:spLocks noChangeArrowheads="1"/>
        </xdr:cNvSpPr>
      </xdr:nvSpPr>
      <xdr:spPr bwMode="auto">
        <a:xfrm>
          <a:off x="75247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8</xdr:col>
      <xdr:colOff>209550</xdr:colOff>
      <xdr:row>2</xdr:row>
      <xdr:rowOff>0</xdr:rowOff>
    </xdr:from>
    <xdr:to>
      <xdr:col>8</xdr:col>
      <xdr:colOff>361950</xdr:colOff>
      <xdr:row>3</xdr:row>
      <xdr:rowOff>0</xdr:rowOff>
    </xdr:to>
    <xdr:sp macro="" textlink="">
      <xdr:nvSpPr>
        <xdr:cNvPr id="17466" name="Oval 58">
          <a:extLst>
            <a:ext uri="{FF2B5EF4-FFF2-40B4-BE49-F238E27FC236}">
              <a16:creationId xmlns:a16="http://schemas.microsoft.com/office/drawing/2014/main" id="{00000000-0008-0000-0300-00003A440000}"/>
            </a:ext>
          </a:extLst>
        </xdr:cNvPr>
        <xdr:cNvSpPr>
          <a:spLocks noChangeArrowheads="1"/>
        </xdr:cNvSpPr>
      </xdr:nvSpPr>
      <xdr:spPr bwMode="auto">
        <a:xfrm>
          <a:off x="719137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523875</xdr:colOff>
      <xdr:row>3</xdr:row>
      <xdr:rowOff>0</xdr:rowOff>
    </xdr:to>
    <xdr:sp macro="" textlink="">
      <xdr:nvSpPr>
        <xdr:cNvPr id="17467" name="Oval 59">
          <a:extLst>
            <a:ext uri="{FF2B5EF4-FFF2-40B4-BE49-F238E27FC236}">
              <a16:creationId xmlns:a16="http://schemas.microsoft.com/office/drawing/2014/main" id="{00000000-0008-0000-0300-00003B440000}"/>
            </a:ext>
          </a:extLst>
        </xdr:cNvPr>
        <xdr:cNvSpPr>
          <a:spLocks noChangeArrowheads="1"/>
        </xdr:cNvSpPr>
      </xdr:nvSpPr>
      <xdr:spPr bwMode="auto">
        <a:xfrm>
          <a:off x="73533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1</xdr:row>
      <xdr:rowOff>152400</xdr:rowOff>
    </xdr:from>
    <xdr:to>
      <xdr:col>8</xdr:col>
      <xdr:colOff>685800</xdr:colOff>
      <xdr:row>2</xdr:row>
      <xdr:rowOff>152400</xdr:rowOff>
    </xdr:to>
    <xdr:sp macro="" textlink="">
      <xdr:nvSpPr>
        <xdr:cNvPr id="17468" name="Oval 60">
          <a:extLst>
            <a:ext uri="{FF2B5EF4-FFF2-40B4-BE49-F238E27FC236}">
              <a16:creationId xmlns:a16="http://schemas.microsoft.com/office/drawing/2014/main" id="{00000000-0008-0000-0300-00003C440000}"/>
            </a:ext>
          </a:extLst>
        </xdr:cNvPr>
        <xdr:cNvSpPr>
          <a:spLocks noChangeArrowheads="1"/>
        </xdr:cNvSpPr>
      </xdr:nvSpPr>
      <xdr:spPr bwMode="auto">
        <a:xfrm>
          <a:off x="7515225" y="4857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3</xdr:row>
      <xdr:rowOff>9525</xdr:rowOff>
    </xdr:from>
    <xdr:to>
      <xdr:col>8</xdr:col>
      <xdr:colOff>200025</xdr:colOff>
      <xdr:row>4</xdr:row>
      <xdr:rowOff>9525</xdr:rowOff>
    </xdr:to>
    <xdr:sp macro="" textlink="">
      <xdr:nvSpPr>
        <xdr:cNvPr id="17469" name="Oval 61">
          <a:extLst>
            <a:ext uri="{FF2B5EF4-FFF2-40B4-BE49-F238E27FC236}">
              <a16:creationId xmlns:a16="http://schemas.microsoft.com/office/drawing/2014/main" id="{00000000-0008-0000-0300-00003D440000}"/>
            </a:ext>
          </a:extLst>
        </xdr:cNvPr>
        <xdr:cNvSpPr>
          <a:spLocks noChangeArrowheads="1"/>
        </xdr:cNvSpPr>
      </xdr:nvSpPr>
      <xdr:spPr bwMode="auto">
        <a:xfrm>
          <a:off x="70294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219075</xdr:colOff>
      <xdr:row>3</xdr:row>
      <xdr:rowOff>9525</xdr:rowOff>
    </xdr:from>
    <xdr:to>
      <xdr:col>8</xdr:col>
      <xdr:colOff>371475</xdr:colOff>
      <xdr:row>4</xdr:row>
      <xdr:rowOff>9525</xdr:rowOff>
    </xdr:to>
    <xdr:sp macro="" textlink="">
      <xdr:nvSpPr>
        <xdr:cNvPr id="17470" name="Oval 62">
          <a:extLst>
            <a:ext uri="{FF2B5EF4-FFF2-40B4-BE49-F238E27FC236}">
              <a16:creationId xmlns:a16="http://schemas.microsoft.com/office/drawing/2014/main" id="{00000000-0008-0000-0300-00003E440000}"/>
            </a:ext>
          </a:extLst>
        </xdr:cNvPr>
        <xdr:cNvSpPr>
          <a:spLocks noChangeArrowheads="1"/>
        </xdr:cNvSpPr>
      </xdr:nvSpPr>
      <xdr:spPr bwMode="auto">
        <a:xfrm>
          <a:off x="720090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3</xdr:row>
      <xdr:rowOff>9525</xdr:rowOff>
    </xdr:from>
    <xdr:to>
      <xdr:col>8</xdr:col>
      <xdr:colOff>542925</xdr:colOff>
      <xdr:row>4</xdr:row>
      <xdr:rowOff>9525</xdr:rowOff>
    </xdr:to>
    <xdr:sp macro="" textlink="">
      <xdr:nvSpPr>
        <xdr:cNvPr id="17471" name="Oval 63">
          <a:extLst>
            <a:ext uri="{FF2B5EF4-FFF2-40B4-BE49-F238E27FC236}">
              <a16:creationId xmlns:a16="http://schemas.microsoft.com/office/drawing/2014/main" id="{00000000-0008-0000-0300-00003F440000}"/>
            </a:ext>
          </a:extLst>
        </xdr:cNvPr>
        <xdr:cNvSpPr>
          <a:spLocks noChangeArrowheads="1"/>
        </xdr:cNvSpPr>
      </xdr:nvSpPr>
      <xdr:spPr bwMode="auto">
        <a:xfrm>
          <a:off x="73723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1</xdr:row>
      <xdr:rowOff>9525</xdr:rowOff>
    </xdr:from>
    <xdr:to>
      <xdr:col>7</xdr:col>
      <xdr:colOff>171450</xdr:colOff>
      <xdr:row>2</xdr:row>
      <xdr:rowOff>9525</xdr:rowOff>
    </xdr:to>
    <xdr:sp macro="" textlink="">
      <xdr:nvSpPr>
        <xdr:cNvPr id="17662" name="Oval 254">
          <a:extLst>
            <a:ext uri="{FF2B5EF4-FFF2-40B4-BE49-F238E27FC236}">
              <a16:creationId xmlns:a16="http://schemas.microsoft.com/office/drawing/2014/main" id="{00000000-0008-0000-0300-0000FE440000}"/>
            </a:ext>
          </a:extLst>
        </xdr:cNvPr>
        <xdr:cNvSpPr>
          <a:spLocks noChangeArrowheads="1"/>
        </xdr:cNvSpPr>
      </xdr:nvSpPr>
      <xdr:spPr bwMode="auto">
        <a:xfrm>
          <a:off x="6238875" y="3429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1</xdr:row>
      <xdr:rowOff>9525</xdr:rowOff>
    </xdr:from>
    <xdr:to>
      <xdr:col>7</xdr:col>
      <xdr:colOff>333375</xdr:colOff>
      <xdr:row>2</xdr:row>
      <xdr:rowOff>9525</xdr:rowOff>
    </xdr:to>
    <xdr:sp macro="" textlink="">
      <xdr:nvSpPr>
        <xdr:cNvPr id="17663" name="Oval 255">
          <a:extLst>
            <a:ext uri="{FF2B5EF4-FFF2-40B4-BE49-F238E27FC236}">
              <a16:creationId xmlns:a16="http://schemas.microsoft.com/office/drawing/2014/main" id="{00000000-0008-0000-0300-0000FF440000}"/>
            </a:ext>
          </a:extLst>
        </xdr:cNvPr>
        <xdr:cNvSpPr>
          <a:spLocks noChangeArrowheads="1"/>
        </xdr:cNvSpPr>
      </xdr:nvSpPr>
      <xdr:spPr bwMode="auto">
        <a:xfrm>
          <a:off x="6400800" y="3429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</xdr:row>
      <xdr:rowOff>0</xdr:rowOff>
    </xdr:from>
    <xdr:to>
      <xdr:col>8</xdr:col>
      <xdr:colOff>190500</xdr:colOff>
      <xdr:row>2</xdr:row>
      <xdr:rowOff>0</xdr:rowOff>
    </xdr:to>
    <xdr:sp macro="" textlink="">
      <xdr:nvSpPr>
        <xdr:cNvPr id="17667" name="Oval 259">
          <a:extLst>
            <a:ext uri="{FF2B5EF4-FFF2-40B4-BE49-F238E27FC236}">
              <a16:creationId xmlns:a16="http://schemas.microsoft.com/office/drawing/2014/main" id="{00000000-0008-0000-0300-000003450000}"/>
            </a:ext>
          </a:extLst>
        </xdr:cNvPr>
        <xdr:cNvSpPr>
          <a:spLocks noChangeArrowheads="1"/>
        </xdr:cNvSpPr>
      </xdr:nvSpPr>
      <xdr:spPr bwMode="auto">
        <a:xfrm>
          <a:off x="70199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209550</xdr:colOff>
      <xdr:row>1</xdr:row>
      <xdr:rowOff>0</xdr:rowOff>
    </xdr:from>
    <xdr:to>
      <xdr:col>8</xdr:col>
      <xdr:colOff>361950</xdr:colOff>
      <xdr:row>2</xdr:row>
      <xdr:rowOff>0</xdr:rowOff>
    </xdr:to>
    <xdr:sp macro="" textlink="">
      <xdr:nvSpPr>
        <xdr:cNvPr id="17668" name="Oval 260">
          <a:extLst>
            <a:ext uri="{FF2B5EF4-FFF2-40B4-BE49-F238E27FC236}">
              <a16:creationId xmlns:a16="http://schemas.microsoft.com/office/drawing/2014/main" id="{00000000-0008-0000-0300-000004450000}"/>
            </a:ext>
          </a:extLst>
        </xdr:cNvPr>
        <xdr:cNvSpPr>
          <a:spLocks noChangeArrowheads="1"/>
        </xdr:cNvSpPr>
      </xdr:nvSpPr>
      <xdr:spPr bwMode="auto">
        <a:xfrm>
          <a:off x="719137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1</xdr:row>
      <xdr:rowOff>0</xdr:rowOff>
    </xdr:from>
    <xdr:to>
      <xdr:col>8</xdr:col>
      <xdr:colOff>523875</xdr:colOff>
      <xdr:row>2</xdr:row>
      <xdr:rowOff>0</xdr:rowOff>
    </xdr:to>
    <xdr:sp macro="" textlink="">
      <xdr:nvSpPr>
        <xdr:cNvPr id="17669" name="Oval 261">
          <a:extLst>
            <a:ext uri="{FF2B5EF4-FFF2-40B4-BE49-F238E27FC236}">
              <a16:creationId xmlns:a16="http://schemas.microsoft.com/office/drawing/2014/main" id="{00000000-0008-0000-0300-000005450000}"/>
            </a:ext>
          </a:extLst>
        </xdr:cNvPr>
        <xdr:cNvSpPr>
          <a:spLocks noChangeArrowheads="1"/>
        </xdr:cNvSpPr>
      </xdr:nvSpPr>
      <xdr:spPr bwMode="auto">
        <a:xfrm>
          <a:off x="7353300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0</xdr:row>
      <xdr:rowOff>323850</xdr:rowOff>
    </xdr:from>
    <xdr:to>
      <xdr:col>8</xdr:col>
      <xdr:colOff>685800</xdr:colOff>
      <xdr:row>1</xdr:row>
      <xdr:rowOff>152400</xdr:rowOff>
    </xdr:to>
    <xdr:sp macro="" textlink="">
      <xdr:nvSpPr>
        <xdr:cNvPr id="17670" name="Oval 262">
          <a:extLst>
            <a:ext uri="{FF2B5EF4-FFF2-40B4-BE49-F238E27FC236}">
              <a16:creationId xmlns:a16="http://schemas.microsoft.com/office/drawing/2014/main" id="{00000000-0008-0000-0300-000006450000}"/>
            </a:ext>
          </a:extLst>
        </xdr:cNvPr>
        <xdr:cNvSpPr>
          <a:spLocks noChangeArrowheads="1"/>
        </xdr:cNvSpPr>
      </xdr:nvSpPr>
      <xdr:spPr bwMode="auto">
        <a:xfrm>
          <a:off x="7515225" y="3238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495300</xdr:colOff>
      <xdr:row>1</xdr:row>
      <xdr:rowOff>0</xdr:rowOff>
    </xdr:from>
    <xdr:to>
      <xdr:col>7</xdr:col>
      <xdr:colOff>647700</xdr:colOff>
      <xdr:row>2</xdr:row>
      <xdr:rowOff>0</xdr:rowOff>
    </xdr:to>
    <xdr:sp macro="" textlink="">
      <xdr:nvSpPr>
        <xdr:cNvPr id="17671" name="Oval 263">
          <a:extLst>
            <a:ext uri="{FF2B5EF4-FFF2-40B4-BE49-F238E27FC236}">
              <a16:creationId xmlns:a16="http://schemas.microsoft.com/office/drawing/2014/main" id="{00000000-0008-0000-0300-000007450000}"/>
            </a:ext>
          </a:extLst>
        </xdr:cNvPr>
        <xdr:cNvSpPr>
          <a:spLocks noChangeArrowheads="1"/>
        </xdr:cNvSpPr>
      </xdr:nvSpPr>
      <xdr:spPr bwMode="auto">
        <a:xfrm>
          <a:off x="67151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1</xdr:row>
      <xdr:rowOff>0</xdr:rowOff>
    </xdr:from>
    <xdr:to>
      <xdr:col>7</xdr:col>
      <xdr:colOff>495300</xdr:colOff>
      <xdr:row>2</xdr:row>
      <xdr:rowOff>0</xdr:rowOff>
    </xdr:to>
    <xdr:sp macro="" textlink="">
      <xdr:nvSpPr>
        <xdr:cNvPr id="17672" name="Oval 264">
          <a:extLst>
            <a:ext uri="{FF2B5EF4-FFF2-40B4-BE49-F238E27FC236}">
              <a16:creationId xmlns:a16="http://schemas.microsoft.com/office/drawing/2014/main" id="{00000000-0008-0000-0300-000008450000}"/>
            </a:ext>
          </a:extLst>
        </xdr:cNvPr>
        <xdr:cNvSpPr>
          <a:spLocks noChangeArrowheads="1"/>
        </xdr:cNvSpPr>
      </xdr:nvSpPr>
      <xdr:spPr bwMode="auto">
        <a:xfrm>
          <a:off x="65627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78</xdr:row>
      <xdr:rowOff>47625</xdr:rowOff>
    </xdr:from>
    <xdr:to>
      <xdr:col>4</xdr:col>
      <xdr:colOff>66675</xdr:colOff>
      <xdr:row>78</xdr:row>
      <xdr:rowOff>123825</xdr:rowOff>
    </xdr:to>
    <xdr:sp macro="" textlink="">
      <xdr:nvSpPr>
        <xdr:cNvPr id="9217" name="Oval 1">
          <a:extLs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>
          <a:spLocks noChangeArrowheads="1"/>
        </xdr:cNvSpPr>
      </xdr:nvSpPr>
      <xdr:spPr bwMode="auto">
        <a:xfrm>
          <a:off x="4095750" y="146113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82</xdr:row>
      <xdr:rowOff>104775</xdr:rowOff>
    </xdr:from>
    <xdr:to>
      <xdr:col>0</xdr:col>
      <xdr:colOff>647700</xdr:colOff>
      <xdr:row>83</xdr:row>
      <xdr:rowOff>19050</xdr:rowOff>
    </xdr:to>
    <xdr:sp macro="" textlink="">
      <xdr:nvSpPr>
        <xdr:cNvPr id="9218" name="Oval 2">
          <a:extLst>
            <a:ext uri="{FF2B5EF4-FFF2-40B4-BE49-F238E27FC236}">
              <a16:creationId xmlns:a16="http://schemas.microsoft.com/office/drawing/2014/main" id="{00000000-0008-0000-0400-000002240000}"/>
            </a:ext>
          </a:extLst>
        </xdr:cNvPr>
        <xdr:cNvSpPr>
          <a:spLocks noChangeArrowheads="1"/>
        </xdr:cNvSpPr>
      </xdr:nvSpPr>
      <xdr:spPr bwMode="auto">
        <a:xfrm>
          <a:off x="571500" y="153352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78</xdr:row>
      <xdr:rowOff>38100</xdr:rowOff>
    </xdr:from>
    <xdr:to>
      <xdr:col>0</xdr:col>
      <xdr:colOff>676275</xdr:colOff>
      <xdr:row>78</xdr:row>
      <xdr:rowOff>123825</xdr:rowOff>
    </xdr:to>
    <xdr:sp macro="" textlink="">
      <xdr:nvSpPr>
        <xdr:cNvPr id="9219" name="Oval 3">
          <a:extLst>
            <a:ext uri="{FF2B5EF4-FFF2-40B4-BE49-F238E27FC236}">
              <a16:creationId xmlns:a16="http://schemas.microsoft.com/office/drawing/2014/main" id="{00000000-0008-0000-0400-000003240000}"/>
            </a:ext>
          </a:extLst>
        </xdr:cNvPr>
        <xdr:cNvSpPr>
          <a:spLocks noChangeArrowheads="1"/>
        </xdr:cNvSpPr>
      </xdr:nvSpPr>
      <xdr:spPr bwMode="auto">
        <a:xfrm>
          <a:off x="600075" y="1460182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78</xdr:row>
      <xdr:rowOff>47625</xdr:rowOff>
    </xdr:from>
    <xdr:to>
      <xdr:col>4</xdr:col>
      <xdr:colOff>352425</xdr:colOff>
      <xdr:row>78</xdr:row>
      <xdr:rowOff>123825</xdr:rowOff>
    </xdr:to>
    <xdr:sp macro="" textlink="">
      <xdr:nvSpPr>
        <xdr:cNvPr id="9220" name="Oval 4">
          <a:extLst>
            <a:ext uri="{FF2B5EF4-FFF2-40B4-BE49-F238E27FC236}">
              <a16:creationId xmlns:a16="http://schemas.microsoft.com/office/drawing/2014/main" id="{00000000-0008-0000-0400-000004240000}"/>
            </a:ext>
          </a:extLst>
        </xdr:cNvPr>
        <xdr:cNvSpPr>
          <a:spLocks noChangeArrowheads="1"/>
        </xdr:cNvSpPr>
      </xdr:nvSpPr>
      <xdr:spPr bwMode="auto">
        <a:xfrm>
          <a:off x="4400550" y="146113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77</xdr:row>
      <xdr:rowOff>152400</xdr:rowOff>
    </xdr:from>
    <xdr:to>
      <xdr:col>1</xdr:col>
      <xdr:colOff>561975</xdr:colOff>
      <xdr:row>78</xdr:row>
      <xdr:rowOff>161925</xdr:rowOff>
    </xdr:to>
    <xdr:sp macro="" textlink="">
      <xdr:nvSpPr>
        <xdr:cNvPr id="9221" name="Rectangle 5">
          <a:extLst>
            <a:ext uri="{FF2B5EF4-FFF2-40B4-BE49-F238E27FC236}">
              <a16:creationId xmlns:a16="http://schemas.microsoft.com/office/drawing/2014/main" id="{00000000-0008-0000-0400-000005240000}"/>
            </a:ext>
          </a:extLst>
        </xdr:cNvPr>
        <xdr:cNvSpPr>
          <a:spLocks noChangeArrowheads="1"/>
        </xdr:cNvSpPr>
      </xdr:nvSpPr>
      <xdr:spPr bwMode="auto">
        <a:xfrm>
          <a:off x="1695450" y="14516100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533400</xdr:colOff>
      <xdr:row>78</xdr:row>
      <xdr:rowOff>171450</xdr:rowOff>
    </xdr:to>
    <xdr:sp macro="" textlink="">
      <xdr:nvSpPr>
        <xdr:cNvPr id="9222" name="Rectangle 6">
          <a:extLst>
            <a:ext uri="{FF2B5EF4-FFF2-40B4-BE49-F238E27FC236}">
              <a16:creationId xmlns:a16="http://schemas.microsoft.com/office/drawing/2014/main" id="{00000000-0008-0000-0400-000006240000}"/>
            </a:ext>
          </a:extLst>
        </xdr:cNvPr>
        <xdr:cNvSpPr>
          <a:spLocks noChangeArrowheads="1"/>
        </xdr:cNvSpPr>
      </xdr:nvSpPr>
      <xdr:spPr bwMode="auto">
        <a:xfrm>
          <a:off x="2752725" y="14563725"/>
          <a:ext cx="533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762000</xdr:colOff>
      <xdr:row>80</xdr:row>
      <xdr:rowOff>19050</xdr:rowOff>
    </xdr:from>
    <xdr:to>
      <xdr:col>3</xdr:col>
      <xdr:colOff>1238250</xdr:colOff>
      <xdr:row>80</xdr:row>
      <xdr:rowOff>19050</xdr:rowOff>
    </xdr:to>
    <xdr:sp macro="" textlink="">
      <xdr:nvSpPr>
        <xdr:cNvPr id="9223" name="Line 7">
          <a:extLst>
            <a:ext uri="{FF2B5EF4-FFF2-40B4-BE49-F238E27FC236}">
              <a16:creationId xmlns:a16="http://schemas.microsoft.com/office/drawing/2014/main" id="{00000000-0008-0000-0400-000007240000}"/>
            </a:ext>
          </a:extLst>
        </xdr:cNvPr>
        <xdr:cNvSpPr>
          <a:spLocks noChangeShapeType="1"/>
        </xdr:cNvSpPr>
      </xdr:nvSpPr>
      <xdr:spPr bwMode="auto">
        <a:xfrm>
          <a:off x="3514725" y="1492567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80</xdr:row>
      <xdr:rowOff>152400</xdr:rowOff>
    </xdr:from>
    <xdr:to>
      <xdr:col>3</xdr:col>
      <xdr:colOff>1238250</xdr:colOff>
      <xdr:row>80</xdr:row>
      <xdr:rowOff>152400</xdr:rowOff>
    </xdr:to>
    <xdr:sp macro="" textlink="">
      <xdr:nvSpPr>
        <xdr:cNvPr id="9224" name="Line 8">
          <a:extLst>
            <a:ext uri="{FF2B5EF4-FFF2-40B4-BE49-F238E27FC236}">
              <a16:creationId xmlns:a16="http://schemas.microsoft.com/office/drawing/2014/main" id="{00000000-0008-0000-0400-000008240000}"/>
            </a:ext>
          </a:extLst>
        </xdr:cNvPr>
        <xdr:cNvSpPr>
          <a:spLocks noChangeShapeType="1"/>
        </xdr:cNvSpPr>
      </xdr:nvSpPr>
      <xdr:spPr bwMode="auto">
        <a:xfrm>
          <a:off x="3514725" y="150590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77</xdr:row>
      <xdr:rowOff>38100</xdr:rowOff>
    </xdr:from>
    <xdr:to>
      <xdr:col>4</xdr:col>
      <xdr:colOff>323850</xdr:colOff>
      <xdr:row>78</xdr:row>
      <xdr:rowOff>66675</xdr:rowOff>
    </xdr:to>
    <xdr:sp macro="" textlink="">
      <xdr:nvSpPr>
        <xdr:cNvPr id="9225" name="Line 9">
          <a:extLst>
            <a:ext uri="{FF2B5EF4-FFF2-40B4-BE49-F238E27FC236}">
              <a16:creationId xmlns:a16="http://schemas.microsoft.com/office/drawing/2014/main" id="{00000000-0008-0000-0400-000009240000}"/>
            </a:ext>
          </a:extLst>
        </xdr:cNvPr>
        <xdr:cNvSpPr>
          <a:spLocks noChangeShapeType="1"/>
        </xdr:cNvSpPr>
      </xdr:nvSpPr>
      <xdr:spPr bwMode="auto">
        <a:xfrm flipV="1">
          <a:off x="4181475" y="14401800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78</xdr:row>
      <xdr:rowOff>85725</xdr:rowOff>
    </xdr:from>
    <xdr:to>
      <xdr:col>3</xdr:col>
      <xdr:colOff>1333500</xdr:colOff>
      <xdr:row>78</xdr:row>
      <xdr:rowOff>85725</xdr:rowOff>
    </xdr:to>
    <xdr:sp macro="" textlink="">
      <xdr:nvSpPr>
        <xdr:cNvPr id="9226" name="Line 10">
          <a:extLst>
            <a:ext uri="{FF2B5EF4-FFF2-40B4-BE49-F238E27FC236}">
              <a16:creationId xmlns:a16="http://schemas.microsoft.com/office/drawing/2014/main" id="{00000000-0008-0000-0400-00000A240000}"/>
            </a:ext>
          </a:extLst>
        </xdr:cNvPr>
        <xdr:cNvSpPr>
          <a:spLocks noChangeShapeType="1"/>
        </xdr:cNvSpPr>
      </xdr:nvSpPr>
      <xdr:spPr bwMode="auto">
        <a:xfrm>
          <a:off x="3705225" y="14649450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78</xdr:row>
      <xdr:rowOff>85725</xdr:rowOff>
    </xdr:from>
    <xdr:to>
      <xdr:col>1</xdr:col>
      <xdr:colOff>57150</xdr:colOff>
      <xdr:row>78</xdr:row>
      <xdr:rowOff>85725</xdr:rowOff>
    </xdr:to>
    <xdr:sp macro="" textlink="">
      <xdr:nvSpPr>
        <xdr:cNvPr id="9227" name="Line 11">
          <a:extLst>
            <a:ext uri="{FF2B5EF4-FFF2-40B4-BE49-F238E27FC236}">
              <a16:creationId xmlns:a16="http://schemas.microsoft.com/office/drawing/2014/main" id="{00000000-0008-0000-0400-00000B240000}"/>
            </a:ext>
          </a:extLst>
        </xdr:cNvPr>
        <xdr:cNvSpPr>
          <a:spLocks noChangeShapeType="1"/>
        </xdr:cNvSpPr>
      </xdr:nvSpPr>
      <xdr:spPr bwMode="auto">
        <a:xfrm>
          <a:off x="695325" y="14649450"/>
          <a:ext cx="1047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78</xdr:row>
      <xdr:rowOff>76200</xdr:rowOff>
    </xdr:from>
    <xdr:to>
      <xdr:col>3</xdr:col>
      <xdr:colOff>9525</xdr:colOff>
      <xdr:row>78</xdr:row>
      <xdr:rowOff>76200</xdr:rowOff>
    </xdr:to>
    <xdr:sp macro="" textlink="">
      <xdr:nvSpPr>
        <xdr:cNvPr id="9228" name="Line 12">
          <a:extLst>
            <a:ext uri="{FF2B5EF4-FFF2-40B4-BE49-F238E27FC236}">
              <a16:creationId xmlns:a16="http://schemas.microsoft.com/office/drawing/2014/main" id="{00000000-0008-0000-0400-00000C240000}"/>
            </a:ext>
          </a:extLst>
        </xdr:cNvPr>
        <xdr:cNvSpPr>
          <a:spLocks noChangeShapeType="1"/>
        </xdr:cNvSpPr>
      </xdr:nvSpPr>
      <xdr:spPr bwMode="auto">
        <a:xfrm>
          <a:off x="2247900" y="14639925"/>
          <a:ext cx="514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78</xdr:row>
      <xdr:rowOff>85725</xdr:rowOff>
    </xdr:from>
    <xdr:to>
      <xdr:col>3</xdr:col>
      <xdr:colOff>971550</xdr:colOff>
      <xdr:row>78</xdr:row>
      <xdr:rowOff>85725</xdr:rowOff>
    </xdr:to>
    <xdr:sp macro="" textlink="">
      <xdr:nvSpPr>
        <xdr:cNvPr id="9229" name="Line 13">
          <a:extLst>
            <a:ext uri="{FF2B5EF4-FFF2-40B4-BE49-F238E27FC236}">
              <a16:creationId xmlns:a16="http://schemas.microsoft.com/office/drawing/2014/main" id="{00000000-0008-0000-0400-00000D240000}"/>
            </a:ext>
          </a:extLst>
        </xdr:cNvPr>
        <xdr:cNvSpPr>
          <a:spLocks noChangeShapeType="1"/>
        </xdr:cNvSpPr>
      </xdr:nvSpPr>
      <xdr:spPr bwMode="auto">
        <a:xfrm>
          <a:off x="3305175" y="14649450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83</xdr:row>
      <xdr:rowOff>0</xdr:rowOff>
    </xdr:from>
    <xdr:to>
      <xdr:col>3</xdr:col>
      <xdr:colOff>981075</xdr:colOff>
      <xdr:row>83</xdr:row>
      <xdr:rowOff>0</xdr:rowOff>
    </xdr:to>
    <xdr:sp macro="" textlink="">
      <xdr:nvSpPr>
        <xdr:cNvPr id="9230" name="Line 14">
          <a:extLst>
            <a:ext uri="{FF2B5EF4-FFF2-40B4-BE49-F238E27FC236}">
              <a16:creationId xmlns:a16="http://schemas.microsoft.com/office/drawing/2014/main" id="{00000000-0008-0000-0400-00000E240000}"/>
            </a:ext>
          </a:extLst>
        </xdr:cNvPr>
        <xdr:cNvSpPr>
          <a:spLocks noChangeShapeType="1"/>
        </xdr:cNvSpPr>
      </xdr:nvSpPr>
      <xdr:spPr bwMode="auto">
        <a:xfrm>
          <a:off x="657225" y="15392400"/>
          <a:ext cx="3076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78</xdr:row>
      <xdr:rowOff>85725</xdr:rowOff>
    </xdr:from>
    <xdr:to>
      <xdr:col>3</xdr:col>
      <xdr:colOff>952500</xdr:colOff>
      <xdr:row>80</xdr:row>
      <xdr:rowOff>19050</xdr:rowOff>
    </xdr:to>
    <xdr:sp macro="" textlink="">
      <xdr:nvSpPr>
        <xdr:cNvPr id="9231" name="Line 15">
          <a:extLst>
            <a:ext uri="{FF2B5EF4-FFF2-40B4-BE49-F238E27FC236}">
              <a16:creationId xmlns:a16="http://schemas.microsoft.com/office/drawing/2014/main" id="{00000000-0008-0000-0400-00000F240000}"/>
            </a:ext>
          </a:extLst>
        </xdr:cNvPr>
        <xdr:cNvSpPr>
          <a:spLocks noChangeShapeType="1"/>
        </xdr:cNvSpPr>
      </xdr:nvSpPr>
      <xdr:spPr bwMode="auto">
        <a:xfrm>
          <a:off x="3705225" y="14649450"/>
          <a:ext cx="0" cy="276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81</xdr:row>
      <xdr:rowOff>0</xdr:rowOff>
    </xdr:from>
    <xdr:to>
      <xdr:col>3</xdr:col>
      <xdr:colOff>962025</xdr:colOff>
      <xdr:row>83</xdr:row>
      <xdr:rowOff>0</xdr:rowOff>
    </xdr:to>
    <xdr:sp macro="" textlink="">
      <xdr:nvSpPr>
        <xdr:cNvPr id="9232" name="Line 16">
          <a:extLst>
            <a:ext uri="{FF2B5EF4-FFF2-40B4-BE49-F238E27FC236}">
              <a16:creationId xmlns:a16="http://schemas.microsoft.com/office/drawing/2014/main" id="{00000000-0008-0000-0400-000010240000}"/>
            </a:ext>
          </a:extLst>
        </xdr:cNvPr>
        <xdr:cNvSpPr>
          <a:spLocks noChangeShapeType="1"/>
        </xdr:cNvSpPr>
      </xdr:nvSpPr>
      <xdr:spPr bwMode="auto">
        <a:xfrm flipV="1">
          <a:off x="3714750" y="15068550"/>
          <a:ext cx="0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79</xdr:row>
      <xdr:rowOff>38100</xdr:rowOff>
    </xdr:from>
    <xdr:to>
      <xdr:col>1</xdr:col>
      <xdr:colOff>381000</xdr:colOff>
      <xdr:row>80</xdr:row>
      <xdr:rowOff>104775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00000000-0008-0000-0400-000011240000}"/>
            </a:ext>
          </a:extLst>
        </xdr:cNvPr>
        <xdr:cNvSpPr txBox="1">
          <a:spLocks noChangeArrowheads="1"/>
        </xdr:cNvSpPr>
      </xdr:nvSpPr>
      <xdr:spPr bwMode="auto">
        <a:xfrm>
          <a:off x="1781175" y="1478280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UL</a:t>
          </a:r>
          <a:endParaRPr lang="de-CH"/>
        </a:p>
      </xdr:txBody>
    </xdr:sp>
    <xdr:clientData/>
  </xdr:twoCellAnchor>
  <xdr:twoCellAnchor>
    <xdr:from>
      <xdr:col>3</xdr:col>
      <xdr:colOff>114300</xdr:colOff>
      <xdr:row>79</xdr:row>
      <xdr:rowOff>28575</xdr:rowOff>
    </xdr:from>
    <xdr:to>
      <xdr:col>3</xdr:col>
      <xdr:colOff>400050</xdr:colOff>
      <xdr:row>80</xdr:row>
      <xdr:rowOff>95250</xdr:rowOff>
    </xdr:to>
    <xdr:sp macro="" textlink="">
      <xdr:nvSpPr>
        <xdr:cNvPr id="9234" name="Text Box 18">
          <a:extLst>
            <a:ext uri="{FF2B5EF4-FFF2-40B4-BE49-F238E27FC236}">
              <a16:creationId xmlns:a16="http://schemas.microsoft.com/office/drawing/2014/main" id="{00000000-0008-0000-0400-000012240000}"/>
            </a:ext>
          </a:extLst>
        </xdr:cNvPr>
        <xdr:cNvSpPr txBox="1">
          <a:spLocks noChangeArrowheads="1"/>
        </xdr:cNvSpPr>
      </xdr:nvSpPr>
      <xdr:spPr bwMode="auto">
        <a:xfrm>
          <a:off x="2867025" y="1477327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UR</a:t>
          </a:r>
          <a:endParaRPr lang="de-CH"/>
        </a:p>
      </xdr:txBody>
    </xdr:sp>
    <xdr:clientData/>
  </xdr:twoCellAnchor>
  <xdr:twoCellAnchor>
    <xdr:from>
      <xdr:col>1</xdr:col>
      <xdr:colOff>390525</xdr:colOff>
      <xdr:row>82</xdr:row>
      <xdr:rowOff>152400</xdr:rowOff>
    </xdr:from>
    <xdr:to>
      <xdr:col>1</xdr:col>
      <xdr:colOff>638175</xdr:colOff>
      <xdr:row>83</xdr:row>
      <xdr:rowOff>0</xdr:rowOff>
    </xdr:to>
    <xdr:sp macro="" textlink="">
      <xdr:nvSpPr>
        <xdr:cNvPr id="9235" name="Line 19">
          <a:extLst>
            <a:ext uri="{FF2B5EF4-FFF2-40B4-BE49-F238E27FC236}">
              <a16:creationId xmlns:a16="http://schemas.microsoft.com/office/drawing/2014/main" id="{00000000-0008-0000-0400-000013240000}"/>
            </a:ext>
          </a:extLst>
        </xdr:cNvPr>
        <xdr:cNvSpPr>
          <a:spLocks noChangeShapeType="1"/>
        </xdr:cNvSpPr>
      </xdr:nvSpPr>
      <xdr:spPr bwMode="auto">
        <a:xfrm flipH="1">
          <a:off x="2076450" y="15382875"/>
          <a:ext cx="247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79</xdr:row>
      <xdr:rowOff>0</xdr:rowOff>
    </xdr:from>
    <xdr:ext cx="76200" cy="200025"/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400-000014240000}"/>
            </a:ext>
          </a:extLst>
        </xdr:cNvPr>
        <xdr:cNvSpPr txBox="1">
          <a:spLocks noChangeArrowheads="1"/>
        </xdr:cNvSpPr>
      </xdr:nvSpPr>
      <xdr:spPr bwMode="auto">
        <a:xfrm>
          <a:off x="1819275" y="147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81</xdr:row>
      <xdr:rowOff>28575</xdr:rowOff>
    </xdr:from>
    <xdr:to>
      <xdr:col>1</xdr:col>
      <xdr:colOff>542925</xdr:colOff>
      <xdr:row>82</xdr:row>
      <xdr:rowOff>95250</xdr:rowOff>
    </xdr:to>
    <xdr:sp macro="" textlink="">
      <xdr:nvSpPr>
        <xdr:cNvPr id="9237" name="Text Box 21">
          <a:extLst>
            <a:ext uri="{FF2B5EF4-FFF2-40B4-BE49-F238E27FC236}">
              <a16:creationId xmlns:a16="http://schemas.microsoft.com/office/drawing/2014/main" id="{00000000-0008-0000-0400-000015240000}"/>
            </a:ext>
          </a:extLst>
        </xdr:cNvPr>
        <xdr:cNvSpPr txBox="1">
          <a:spLocks noChangeArrowheads="1"/>
        </xdr:cNvSpPr>
      </xdr:nvSpPr>
      <xdr:spPr bwMode="auto">
        <a:xfrm>
          <a:off x="2114550" y="1509712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4</xdr:col>
      <xdr:colOff>342900</xdr:colOff>
      <xdr:row>78</xdr:row>
      <xdr:rowOff>95250</xdr:rowOff>
    </xdr:from>
    <xdr:to>
      <xdr:col>5</xdr:col>
      <xdr:colOff>9525</xdr:colOff>
      <xdr:row>78</xdr:row>
      <xdr:rowOff>95250</xdr:rowOff>
    </xdr:to>
    <xdr:sp macro="" textlink="">
      <xdr:nvSpPr>
        <xdr:cNvPr id="9238" name="Line 22">
          <a:extLst>
            <a:ext uri="{FF2B5EF4-FFF2-40B4-BE49-F238E27FC236}">
              <a16:creationId xmlns:a16="http://schemas.microsoft.com/office/drawing/2014/main" id="{00000000-0008-0000-0400-000016240000}"/>
            </a:ext>
          </a:extLst>
        </xdr:cNvPr>
        <xdr:cNvSpPr>
          <a:spLocks noChangeShapeType="1"/>
        </xdr:cNvSpPr>
      </xdr:nvSpPr>
      <xdr:spPr bwMode="auto">
        <a:xfrm>
          <a:off x="4467225" y="146589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78</xdr:row>
      <xdr:rowOff>85725</xdr:rowOff>
    </xdr:from>
    <xdr:to>
      <xdr:col>5</xdr:col>
      <xdr:colOff>0</xdr:colOff>
      <xdr:row>82</xdr:row>
      <xdr:rowOff>142875</xdr:rowOff>
    </xdr:to>
    <xdr:sp macro="" textlink="">
      <xdr:nvSpPr>
        <xdr:cNvPr id="9239" name="Line 23">
          <a:extLst>
            <a:ext uri="{FF2B5EF4-FFF2-40B4-BE49-F238E27FC236}">
              <a16:creationId xmlns:a16="http://schemas.microsoft.com/office/drawing/2014/main" id="{00000000-0008-0000-0400-000017240000}"/>
            </a:ext>
          </a:extLst>
        </xdr:cNvPr>
        <xdr:cNvSpPr>
          <a:spLocks noChangeShapeType="1"/>
        </xdr:cNvSpPr>
      </xdr:nvSpPr>
      <xdr:spPr bwMode="auto">
        <a:xfrm>
          <a:off x="4886325" y="14649450"/>
          <a:ext cx="0" cy="723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82</xdr:row>
      <xdr:rowOff>142875</xdr:rowOff>
    </xdr:from>
    <xdr:to>
      <xdr:col>3</xdr:col>
      <xdr:colOff>971550</xdr:colOff>
      <xdr:row>82</xdr:row>
      <xdr:rowOff>152400</xdr:rowOff>
    </xdr:to>
    <xdr:sp macro="" textlink="">
      <xdr:nvSpPr>
        <xdr:cNvPr id="9240" name="Line 24">
          <a:extLst>
            <a:ext uri="{FF2B5EF4-FFF2-40B4-BE49-F238E27FC236}">
              <a16:creationId xmlns:a16="http://schemas.microsoft.com/office/drawing/2014/main" id="{00000000-0008-0000-0400-000018240000}"/>
            </a:ext>
          </a:extLst>
        </xdr:cNvPr>
        <xdr:cNvSpPr>
          <a:spLocks noChangeShapeType="1"/>
        </xdr:cNvSpPr>
      </xdr:nvSpPr>
      <xdr:spPr bwMode="auto">
        <a:xfrm flipV="1">
          <a:off x="3714750" y="1537335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82</xdr:row>
      <xdr:rowOff>152400</xdr:rowOff>
    </xdr:from>
    <xdr:to>
      <xdr:col>5</xdr:col>
      <xdr:colOff>9525</xdr:colOff>
      <xdr:row>83</xdr:row>
      <xdr:rowOff>0</xdr:rowOff>
    </xdr:to>
    <xdr:sp macro="" textlink="">
      <xdr:nvSpPr>
        <xdr:cNvPr id="9241" name="Line 25">
          <a:extLst>
            <a:ext uri="{FF2B5EF4-FFF2-40B4-BE49-F238E27FC236}">
              <a16:creationId xmlns:a16="http://schemas.microsoft.com/office/drawing/2014/main" id="{00000000-0008-0000-0400-000019240000}"/>
            </a:ext>
          </a:extLst>
        </xdr:cNvPr>
        <xdr:cNvSpPr>
          <a:spLocks noChangeShapeType="1"/>
        </xdr:cNvSpPr>
      </xdr:nvSpPr>
      <xdr:spPr bwMode="auto">
        <a:xfrm>
          <a:off x="3714750" y="15382875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77</xdr:row>
      <xdr:rowOff>85725</xdr:rowOff>
    </xdr:from>
    <xdr:to>
      <xdr:col>4</xdr:col>
      <xdr:colOff>219075</xdr:colOff>
      <xdr:row>78</xdr:row>
      <xdr:rowOff>114300</xdr:rowOff>
    </xdr:to>
    <xdr:sp macro="" textlink="">
      <xdr:nvSpPr>
        <xdr:cNvPr id="9242" name="Freeform 26">
          <a:extLst>
            <a:ext uri="{FF2B5EF4-FFF2-40B4-BE49-F238E27FC236}">
              <a16:creationId xmlns:a16="http://schemas.microsoft.com/office/drawing/2014/main" id="{00000000-0008-0000-0400-00001A240000}"/>
            </a:ext>
          </a:extLst>
        </xdr:cNvPr>
        <xdr:cNvSpPr>
          <a:spLocks/>
        </xdr:cNvSpPr>
      </xdr:nvSpPr>
      <xdr:spPr bwMode="auto">
        <a:xfrm>
          <a:off x="4133850" y="14449425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1314450</xdr:colOff>
      <xdr:row>77</xdr:row>
      <xdr:rowOff>57150</xdr:rowOff>
    </xdr:from>
    <xdr:to>
      <xdr:col>4</xdr:col>
      <xdr:colOff>76200</xdr:colOff>
      <xdr:row>77</xdr:row>
      <xdr:rowOff>95250</xdr:rowOff>
    </xdr:to>
    <xdr:sp macro="" textlink="">
      <xdr:nvSpPr>
        <xdr:cNvPr id="9243" name="Line 27">
          <a:extLst>
            <a:ext uri="{FF2B5EF4-FFF2-40B4-BE49-F238E27FC236}">
              <a16:creationId xmlns:a16="http://schemas.microsoft.com/office/drawing/2014/main" id="{00000000-0008-0000-0400-00001B240000}"/>
            </a:ext>
          </a:extLst>
        </xdr:cNvPr>
        <xdr:cNvSpPr>
          <a:spLocks noChangeShapeType="1"/>
        </xdr:cNvSpPr>
      </xdr:nvSpPr>
      <xdr:spPr bwMode="auto">
        <a:xfrm flipH="1" flipV="1">
          <a:off x="4067175" y="14420850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80</xdr:row>
      <xdr:rowOff>0</xdr:rowOff>
    </xdr:from>
    <xdr:to>
      <xdr:col>0</xdr:col>
      <xdr:colOff>752475</xdr:colOff>
      <xdr:row>81</xdr:row>
      <xdr:rowOff>66675</xdr:rowOff>
    </xdr:to>
    <xdr:sp macro="" textlink="">
      <xdr:nvSpPr>
        <xdr:cNvPr id="9244" name="Text Box 28">
          <a:extLst>
            <a:ext uri="{FF2B5EF4-FFF2-40B4-BE49-F238E27FC236}">
              <a16:creationId xmlns:a16="http://schemas.microsoft.com/office/drawing/2014/main" id="{00000000-0008-0000-0400-00001C240000}"/>
            </a:ext>
          </a:extLst>
        </xdr:cNvPr>
        <xdr:cNvSpPr txBox="1">
          <a:spLocks noChangeArrowheads="1"/>
        </xdr:cNvSpPr>
      </xdr:nvSpPr>
      <xdr:spPr bwMode="auto">
        <a:xfrm>
          <a:off x="466725" y="1490662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1304925</xdr:colOff>
      <xdr:row>80</xdr:row>
      <xdr:rowOff>9525</xdr:rowOff>
    </xdr:from>
    <xdr:to>
      <xdr:col>4</xdr:col>
      <xdr:colOff>238125</xdr:colOff>
      <xdr:row>81</xdr:row>
      <xdr:rowOff>76200</xdr:rowOff>
    </xdr:to>
    <xdr:sp macro="" textlink="">
      <xdr:nvSpPr>
        <xdr:cNvPr id="9245" name="Text Box 29">
          <a:extLst>
            <a:ext uri="{FF2B5EF4-FFF2-40B4-BE49-F238E27FC236}">
              <a16:creationId xmlns:a16="http://schemas.microsoft.com/office/drawing/2014/main" id="{00000000-0008-0000-0400-00001D240000}"/>
            </a:ext>
          </a:extLst>
        </xdr:cNvPr>
        <xdr:cNvSpPr txBox="1">
          <a:spLocks noChangeArrowheads="1"/>
        </xdr:cNvSpPr>
      </xdr:nvSpPr>
      <xdr:spPr bwMode="auto">
        <a:xfrm>
          <a:off x="4057650" y="14916150"/>
          <a:ext cx="304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Uc</a:t>
          </a:r>
          <a:endParaRPr lang="de-CH"/>
        </a:p>
      </xdr:txBody>
    </xdr:sp>
    <xdr:clientData/>
  </xdr:twoCellAnchor>
  <xdr:twoCellAnchor>
    <xdr:from>
      <xdr:col>0</xdr:col>
      <xdr:colOff>714375</xdr:colOff>
      <xdr:row>43</xdr:row>
      <xdr:rowOff>19050</xdr:rowOff>
    </xdr:from>
    <xdr:to>
      <xdr:col>5</xdr:col>
      <xdr:colOff>438150</xdr:colOff>
      <xdr:row>63</xdr:row>
      <xdr:rowOff>114300</xdr:rowOff>
    </xdr:to>
    <xdr:graphicFrame macro="">
      <xdr:nvGraphicFramePr>
        <xdr:cNvPr id="9262" name="Diagramm 46">
          <a:extLst>
            <a:ext uri="{FF2B5EF4-FFF2-40B4-BE49-F238E27FC236}">
              <a16:creationId xmlns:a16="http://schemas.microsoft.com/office/drawing/2014/main" id="{00000000-0008-0000-0400-00002E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36</xdr:row>
      <xdr:rowOff>57150</xdr:rowOff>
    </xdr:from>
    <xdr:to>
      <xdr:col>5</xdr:col>
      <xdr:colOff>533400</xdr:colOff>
      <xdr:row>36</xdr:row>
      <xdr:rowOff>133350</xdr:rowOff>
    </xdr:to>
    <xdr:sp macro="" textlink="">
      <xdr:nvSpPr>
        <xdr:cNvPr id="9263" name="Oval 47">
          <a:extLst>
            <a:ext uri="{FF2B5EF4-FFF2-40B4-BE49-F238E27FC236}">
              <a16:creationId xmlns:a16="http://schemas.microsoft.com/office/drawing/2014/main" id="{00000000-0008-0000-0400-00002F240000}"/>
            </a:ext>
          </a:extLst>
        </xdr:cNvPr>
        <xdr:cNvSpPr>
          <a:spLocks noChangeArrowheads="1"/>
        </xdr:cNvSpPr>
      </xdr:nvSpPr>
      <xdr:spPr bwMode="auto">
        <a:xfrm>
          <a:off x="5324475" y="73342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41</xdr:row>
      <xdr:rowOff>123825</xdr:rowOff>
    </xdr:from>
    <xdr:to>
      <xdr:col>0</xdr:col>
      <xdr:colOff>619125</xdr:colOff>
      <xdr:row>42</xdr:row>
      <xdr:rowOff>28575</xdr:rowOff>
    </xdr:to>
    <xdr:sp macro="" textlink="">
      <xdr:nvSpPr>
        <xdr:cNvPr id="9264" name="Oval 48">
          <a:extLst>
            <a:ext uri="{FF2B5EF4-FFF2-40B4-BE49-F238E27FC236}">
              <a16:creationId xmlns:a16="http://schemas.microsoft.com/office/drawing/2014/main" id="{00000000-0008-0000-0400-000030240000}"/>
            </a:ext>
          </a:extLst>
        </xdr:cNvPr>
        <xdr:cNvSpPr>
          <a:spLocks noChangeArrowheads="1"/>
        </xdr:cNvSpPr>
      </xdr:nvSpPr>
      <xdr:spPr bwMode="auto">
        <a:xfrm>
          <a:off x="542925" y="82486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36</xdr:row>
      <xdr:rowOff>38100</xdr:rowOff>
    </xdr:from>
    <xdr:to>
      <xdr:col>0</xdr:col>
      <xdr:colOff>676275</xdr:colOff>
      <xdr:row>36</xdr:row>
      <xdr:rowOff>123825</xdr:rowOff>
    </xdr:to>
    <xdr:sp macro="" textlink="">
      <xdr:nvSpPr>
        <xdr:cNvPr id="9265" name="Oval 49">
          <a:extLst>
            <a:ext uri="{FF2B5EF4-FFF2-40B4-BE49-F238E27FC236}">
              <a16:creationId xmlns:a16="http://schemas.microsoft.com/office/drawing/2014/main" id="{00000000-0008-0000-0400-000031240000}"/>
            </a:ext>
          </a:extLst>
        </xdr:cNvPr>
        <xdr:cNvSpPr>
          <a:spLocks noChangeArrowheads="1"/>
        </xdr:cNvSpPr>
      </xdr:nvSpPr>
      <xdr:spPr bwMode="auto">
        <a:xfrm>
          <a:off x="600075" y="73152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36</xdr:row>
      <xdr:rowOff>57150</xdr:rowOff>
    </xdr:from>
    <xdr:to>
      <xdr:col>6</xdr:col>
      <xdr:colOff>66675</xdr:colOff>
      <xdr:row>36</xdr:row>
      <xdr:rowOff>133350</xdr:rowOff>
    </xdr:to>
    <xdr:sp macro="" textlink="">
      <xdr:nvSpPr>
        <xdr:cNvPr id="9266" name="Oval 50">
          <a:extLst>
            <a:ext uri="{FF2B5EF4-FFF2-40B4-BE49-F238E27FC236}">
              <a16:creationId xmlns:a16="http://schemas.microsoft.com/office/drawing/2014/main" id="{00000000-0008-0000-0400-000032240000}"/>
            </a:ext>
          </a:extLst>
        </xdr:cNvPr>
        <xdr:cNvSpPr>
          <a:spLocks noChangeArrowheads="1"/>
        </xdr:cNvSpPr>
      </xdr:nvSpPr>
      <xdr:spPr bwMode="auto">
        <a:xfrm>
          <a:off x="5638800" y="73342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35</xdr:row>
      <xdr:rowOff>171450</xdr:rowOff>
    </xdr:from>
    <xdr:to>
      <xdr:col>4</xdr:col>
      <xdr:colOff>400050</xdr:colOff>
      <xdr:row>37</xdr:row>
      <xdr:rowOff>0</xdr:rowOff>
    </xdr:to>
    <xdr:sp macro="" textlink="">
      <xdr:nvSpPr>
        <xdr:cNvPr id="9267" name="Rectangle 51">
          <a:extLst>
            <a:ext uri="{FF2B5EF4-FFF2-40B4-BE49-F238E27FC236}">
              <a16:creationId xmlns:a16="http://schemas.microsoft.com/office/drawing/2014/main" id="{00000000-0008-0000-0400-000033240000}"/>
            </a:ext>
          </a:extLst>
        </xdr:cNvPr>
        <xdr:cNvSpPr>
          <a:spLocks noChangeArrowheads="1"/>
        </xdr:cNvSpPr>
      </xdr:nvSpPr>
      <xdr:spPr bwMode="auto">
        <a:xfrm>
          <a:off x="3971925" y="7248525"/>
          <a:ext cx="552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35</xdr:row>
      <xdr:rowOff>190500</xdr:rowOff>
    </xdr:from>
    <xdr:to>
      <xdr:col>3</xdr:col>
      <xdr:colOff>809625</xdr:colOff>
      <xdr:row>36</xdr:row>
      <xdr:rowOff>152400</xdr:rowOff>
    </xdr:to>
    <xdr:sp macro="" textlink="">
      <xdr:nvSpPr>
        <xdr:cNvPr id="9268" name="Rectangle 52">
          <a:extLst>
            <a:ext uri="{FF2B5EF4-FFF2-40B4-BE49-F238E27FC236}">
              <a16:creationId xmlns:a16="http://schemas.microsoft.com/office/drawing/2014/main" id="{00000000-0008-0000-0400-000034240000}"/>
            </a:ext>
          </a:extLst>
        </xdr:cNvPr>
        <xdr:cNvSpPr>
          <a:spLocks noChangeArrowheads="1"/>
        </xdr:cNvSpPr>
      </xdr:nvSpPr>
      <xdr:spPr bwMode="auto">
        <a:xfrm>
          <a:off x="3028950" y="726757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39</xdr:row>
      <xdr:rowOff>28575</xdr:rowOff>
    </xdr:from>
    <xdr:to>
      <xdr:col>5</xdr:col>
      <xdr:colOff>342900</xdr:colOff>
      <xdr:row>39</xdr:row>
      <xdr:rowOff>28575</xdr:rowOff>
    </xdr:to>
    <xdr:sp macro="" textlink="">
      <xdr:nvSpPr>
        <xdr:cNvPr id="9269" name="Line 53">
          <a:extLst>
            <a:ext uri="{FF2B5EF4-FFF2-40B4-BE49-F238E27FC236}">
              <a16:creationId xmlns:a16="http://schemas.microsoft.com/office/drawing/2014/main" id="{00000000-0008-0000-0400-000035240000}"/>
            </a:ext>
          </a:extLst>
        </xdr:cNvPr>
        <xdr:cNvSpPr>
          <a:spLocks noChangeShapeType="1"/>
        </xdr:cNvSpPr>
      </xdr:nvSpPr>
      <xdr:spPr bwMode="auto">
        <a:xfrm>
          <a:off x="4752975" y="78295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39</xdr:row>
      <xdr:rowOff>133350</xdr:rowOff>
    </xdr:from>
    <xdr:to>
      <xdr:col>5</xdr:col>
      <xdr:colOff>342900</xdr:colOff>
      <xdr:row>39</xdr:row>
      <xdr:rowOff>133350</xdr:rowOff>
    </xdr:to>
    <xdr:sp macro="" textlink="">
      <xdr:nvSpPr>
        <xdr:cNvPr id="9270" name="Line 54">
          <a:extLst>
            <a:ext uri="{FF2B5EF4-FFF2-40B4-BE49-F238E27FC236}">
              <a16:creationId xmlns:a16="http://schemas.microsoft.com/office/drawing/2014/main" id="{00000000-0008-0000-0400-000036240000}"/>
            </a:ext>
          </a:extLst>
        </xdr:cNvPr>
        <xdr:cNvSpPr>
          <a:spLocks noChangeShapeType="1"/>
        </xdr:cNvSpPr>
      </xdr:nvSpPr>
      <xdr:spPr bwMode="auto">
        <a:xfrm>
          <a:off x="4752975" y="79343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36</xdr:row>
      <xdr:rowOff>66675</xdr:rowOff>
    </xdr:from>
    <xdr:to>
      <xdr:col>5</xdr:col>
      <xdr:colOff>752475</xdr:colOff>
      <xdr:row>36</xdr:row>
      <xdr:rowOff>95250</xdr:rowOff>
    </xdr:to>
    <xdr:sp macro="" textlink="">
      <xdr:nvSpPr>
        <xdr:cNvPr id="9271" name="Line 55">
          <a:extLst>
            <a:ext uri="{FF2B5EF4-FFF2-40B4-BE49-F238E27FC236}">
              <a16:creationId xmlns:a16="http://schemas.microsoft.com/office/drawing/2014/main" id="{00000000-0008-0000-0400-000037240000}"/>
            </a:ext>
          </a:extLst>
        </xdr:cNvPr>
        <xdr:cNvSpPr>
          <a:spLocks noChangeShapeType="1"/>
        </xdr:cNvSpPr>
      </xdr:nvSpPr>
      <xdr:spPr bwMode="auto">
        <a:xfrm flipV="1">
          <a:off x="5400675" y="7343775"/>
          <a:ext cx="238125" cy="285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36</xdr:row>
      <xdr:rowOff>104775</xdr:rowOff>
    </xdr:from>
    <xdr:to>
      <xdr:col>5</xdr:col>
      <xdr:colOff>466725</xdr:colOff>
      <xdr:row>36</xdr:row>
      <xdr:rowOff>104775</xdr:rowOff>
    </xdr:to>
    <xdr:sp macro="" textlink="">
      <xdr:nvSpPr>
        <xdr:cNvPr id="9272" name="Line 56">
          <a:extLst>
            <a:ext uri="{FF2B5EF4-FFF2-40B4-BE49-F238E27FC236}">
              <a16:creationId xmlns:a16="http://schemas.microsoft.com/office/drawing/2014/main" id="{00000000-0008-0000-0400-000038240000}"/>
            </a:ext>
          </a:extLst>
        </xdr:cNvPr>
        <xdr:cNvSpPr>
          <a:spLocks noChangeShapeType="1"/>
        </xdr:cNvSpPr>
      </xdr:nvSpPr>
      <xdr:spPr bwMode="auto">
        <a:xfrm>
          <a:off x="4972050" y="73818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36</xdr:row>
      <xdr:rowOff>85725</xdr:rowOff>
    </xdr:from>
    <xdr:to>
      <xdr:col>3</xdr:col>
      <xdr:colOff>285750</xdr:colOff>
      <xdr:row>36</xdr:row>
      <xdr:rowOff>85725</xdr:rowOff>
    </xdr:to>
    <xdr:sp macro="" textlink="">
      <xdr:nvSpPr>
        <xdr:cNvPr id="9273" name="Line 57">
          <a:extLst>
            <a:ext uri="{FF2B5EF4-FFF2-40B4-BE49-F238E27FC236}">
              <a16:creationId xmlns:a16="http://schemas.microsoft.com/office/drawing/2014/main" id="{00000000-0008-0000-0400-000039240000}"/>
            </a:ext>
          </a:extLst>
        </xdr:cNvPr>
        <xdr:cNvSpPr>
          <a:spLocks noChangeShapeType="1"/>
        </xdr:cNvSpPr>
      </xdr:nvSpPr>
      <xdr:spPr bwMode="auto">
        <a:xfrm flipV="1">
          <a:off x="695325" y="7362825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36</xdr:row>
      <xdr:rowOff>76200</xdr:rowOff>
    </xdr:from>
    <xdr:to>
      <xdr:col>3</xdr:col>
      <xdr:colOff>1238250</xdr:colOff>
      <xdr:row>36</xdr:row>
      <xdr:rowOff>76200</xdr:rowOff>
    </xdr:to>
    <xdr:sp macro="" textlink="">
      <xdr:nvSpPr>
        <xdr:cNvPr id="9274" name="Line 58">
          <a:extLst>
            <a:ext uri="{FF2B5EF4-FFF2-40B4-BE49-F238E27FC236}">
              <a16:creationId xmlns:a16="http://schemas.microsoft.com/office/drawing/2014/main" id="{00000000-0008-0000-0400-00003A240000}"/>
            </a:ext>
          </a:extLst>
        </xdr:cNvPr>
        <xdr:cNvSpPr>
          <a:spLocks noChangeShapeType="1"/>
        </xdr:cNvSpPr>
      </xdr:nvSpPr>
      <xdr:spPr bwMode="auto">
        <a:xfrm>
          <a:off x="3562350" y="73533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36</xdr:row>
      <xdr:rowOff>104775</xdr:rowOff>
    </xdr:from>
    <xdr:to>
      <xdr:col>5</xdr:col>
      <xdr:colOff>38100</xdr:colOff>
      <xdr:row>36</xdr:row>
      <xdr:rowOff>104775</xdr:rowOff>
    </xdr:to>
    <xdr:sp macro="" textlink="">
      <xdr:nvSpPr>
        <xdr:cNvPr id="9275" name="Line 59">
          <a:extLst>
            <a:ext uri="{FF2B5EF4-FFF2-40B4-BE49-F238E27FC236}">
              <a16:creationId xmlns:a16="http://schemas.microsoft.com/office/drawing/2014/main" id="{00000000-0008-0000-0400-00003B240000}"/>
            </a:ext>
          </a:extLst>
        </xdr:cNvPr>
        <xdr:cNvSpPr>
          <a:spLocks noChangeShapeType="1"/>
        </xdr:cNvSpPr>
      </xdr:nvSpPr>
      <xdr:spPr bwMode="auto">
        <a:xfrm>
          <a:off x="4505325" y="73818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41</xdr:row>
      <xdr:rowOff>171450</xdr:rowOff>
    </xdr:from>
    <xdr:to>
      <xdr:col>5</xdr:col>
      <xdr:colOff>85725</xdr:colOff>
      <xdr:row>41</xdr:row>
      <xdr:rowOff>171450</xdr:rowOff>
    </xdr:to>
    <xdr:sp macro="" textlink="">
      <xdr:nvSpPr>
        <xdr:cNvPr id="9276" name="Line 60">
          <a:extLst>
            <a:ext uri="{FF2B5EF4-FFF2-40B4-BE49-F238E27FC236}">
              <a16:creationId xmlns:a16="http://schemas.microsoft.com/office/drawing/2014/main" id="{00000000-0008-0000-0400-00003C240000}"/>
            </a:ext>
          </a:extLst>
        </xdr:cNvPr>
        <xdr:cNvSpPr>
          <a:spLocks noChangeShapeType="1"/>
        </xdr:cNvSpPr>
      </xdr:nvSpPr>
      <xdr:spPr bwMode="auto">
        <a:xfrm>
          <a:off x="638175" y="8286750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36</xdr:row>
      <xdr:rowOff>95250</xdr:rowOff>
    </xdr:from>
    <xdr:to>
      <xdr:col>5</xdr:col>
      <xdr:colOff>95250</xdr:colOff>
      <xdr:row>39</xdr:row>
      <xdr:rowOff>28575</xdr:rowOff>
    </xdr:to>
    <xdr:sp macro="" textlink="">
      <xdr:nvSpPr>
        <xdr:cNvPr id="9277" name="Line 61">
          <a:extLst>
            <a:ext uri="{FF2B5EF4-FFF2-40B4-BE49-F238E27FC236}">
              <a16:creationId xmlns:a16="http://schemas.microsoft.com/office/drawing/2014/main" id="{00000000-0008-0000-0400-00003D240000}"/>
            </a:ext>
          </a:extLst>
        </xdr:cNvPr>
        <xdr:cNvSpPr>
          <a:spLocks noChangeShapeType="1"/>
        </xdr:cNvSpPr>
      </xdr:nvSpPr>
      <xdr:spPr bwMode="auto">
        <a:xfrm>
          <a:off x="4981575" y="7372350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39</xdr:row>
      <xdr:rowOff>133350</xdr:rowOff>
    </xdr:from>
    <xdr:to>
      <xdr:col>5</xdr:col>
      <xdr:colOff>104775</xdr:colOff>
      <xdr:row>41</xdr:row>
      <xdr:rowOff>171450</xdr:rowOff>
    </xdr:to>
    <xdr:sp macro="" textlink="">
      <xdr:nvSpPr>
        <xdr:cNvPr id="9278" name="Line 62">
          <a:extLst>
            <a:ext uri="{FF2B5EF4-FFF2-40B4-BE49-F238E27FC236}">
              <a16:creationId xmlns:a16="http://schemas.microsoft.com/office/drawing/2014/main" id="{00000000-0008-0000-0400-00003E240000}"/>
            </a:ext>
          </a:extLst>
        </xdr:cNvPr>
        <xdr:cNvSpPr>
          <a:spLocks noChangeShapeType="1"/>
        </xdr:cNvSpPr>
      </xdr:nvSpPr>
      <xdr:spPr bwMode="auto">
        <a:xfrm flipV="1">
          <a:off x="4991100" y="7934325"/>
          <a:ext cx="0" cy="3524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41</xdr:row>
      <xdr:rowOff>171450</xdr:rowOff>
    </xdr:from>
    <xdr:to>
      <xdr:col>1</xdr:col>
      <xdr:colOff>619125</xdr:colOff>
      <xdr:row>41</xdr:row>
      <xdr:rowOff>171450</xdr:rowOff>
    </xdr:to>
    <xdr:sp macro="" textlink="">
      <xdr:nvSpPr>
        <xdr:cNvPr id="9281" name="Line 65">
          <a:extLst>
            <a:ext uri="{FF2B5EF4-FFF2-40B4-BE49-F238E27FC236}">
              <a16:creationId xmlns:a16="http://schemas.microsoft.com/office/drawing/2014/main" id="{00000000-0008-0000-0400-000041240000}"/>
            </a:ext>
          </a:extLst>
        </xdr:cNvPr>
        <xdr:cNvSpPr>
          <a:spLocks noChangeShapeType="1"/>
        </xdr:cNvSpPr>
      </xdr:nvSpPr>
      <xdr:spPr bwMode="auto">
        <a:xfrm flipH="1">
          <a:off x="2038350" y="82867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38</xdr:row>
      <xdr:rowOff>0</xdr:rowOff>
    </xdr:from>
    <xdr:ext cx="76200" cy="200025"/>
    <xdr:sp macro="" textlink="">
      <xdr:nvSpPr>
        <xdr:cNvPr id="9282" name="Text Box 66">
          <a:extLst>
            <a:ext uri="{FF2B5EF4-FFF2-40B4-BE49-F238E27FC236}">
              <a16:creationId xmlns:a16="http://schemas.microsoft.com/office/drawing/2014/main" id="{00000000-0008-0000-0400-000042240000}"/>
            </a:ext>
          </a:extLst>
        </xdr:cNvPr>
        <xdr:cNvSpPr txBox="1">
          <a:spLocks noChangeArrowheads="1"/>
        </xdr:cNvSpPr>
      </xdr:nvSpPr>
      <xdr:spPr bwMode="auto">
        <a:xfrm>
          <a:off x="1819275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40</xdr:row>
      <xdr:rowOff>28575</xdr:rowOff>
    </xdr:from>
    <xdr:to>
      <xdr:col>1</xdr:col>
      <xdr:colOff>542925</xdr:colOff>
      <xdr:row>41</xdr:row>
      <xdr:rowOff>95250</xdr:rowOff>
    </xdr:to>
    <xdr:sp macro="" textlink="">
      <xdr:nvSpPr>
        <xdr:cNvPr id="9283" name="Text Box 67">
          <a:extLst>
            <a:ext uri="{FF2B5EF4-FFF2-40B4-BE49-F238E27FC236}">
              <a16:creationId xmlns:a16="http://schemas.microsoft.com/office/drawing/2014/main" id="{00000000-0008-0000-0400-000043240000}"/>
            </a:ext>
          </a:extLst>
        </xdr:cNvPr>
        <xdr:cNvSpPr txBox="1">
          <a:spLocks noChangeArrowheads="1"/>
        </xdr:cNvSpPr>
      </xdr:nvSpPr>
      <xdr:spPr bwMode="auto">
        <a:xfrm>
          <a:off x="2114550" y="799147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36</xdr:row>
      <xdr:rowOff>95250</xdr:rowOff>
    </xdr:from>
    <xdr:to>
      <xdr:col>6</xdr:col>
      <xdr:colOff>523875</xdr:colOff>
      <xdr:row>36</xdr:row>
      <xdr:rowOff>104775</xdr:rowOff>
    </xdr:to>
    <xdr:sp macro="" textlink="">
      <xdr:nvSpPr>
        <xdr:cNvPr id="9284" name="Line 68">
          <a:extLst>
            <a:ext uri="{FF2B5EF4-FFF2-40B4-BE49-F238E27FC236}">
              <a16:creationId xmlns:a16="http://schemas.microsoft.com/office/drawing/2014/main" id="{00000000-0008-0000-0400-000044240000}"/>
            </a:ext>
          </a:extLst>
        </xdr:cNvPr>
        <xdr:cNvSpPr>
          <a:spLocks noChangeShapeType="1"/>
        </xdr:cNvSpPr>
      </xdr:nvSpPr>
      <xdr:spPr bwMode="auto">
        <a:xfrm flipV="1">
          <a:off x="5715000" y="7372350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36</xdr:row>
      <xdr:rowOff>104775</xdr:rowOff>
    </xdr:from>
    <xdr:to>
      <xdr:col>6</xdr:col>
      <xdr:colOff>514350</xdr:colOff>
      <xdr:row>41</xdr:row>
      <xdr:rowOff>161925</xdr:rowOff>
    </xdr:to>
    <xdr:sp macro="" textlink="">
      <xdr:nvSpPr>
        <xdr:cNvPr id="9285" name="Line 69">
          <a:extLst>
            <a:ext uri="{FF2B5EF4-FFF2-40B4-BE49-F238E27FC236}">
              <a16:creationId xmlns:a16="http://schemas.microsoft.com/office/drawing/2014/main" id="{00000000-0008-0000-0400-000045240000}"/>
            </a:ext>
          </a:extLst>
        </xdr:cNvPr>
        <xdr:cNvSpPr>
          <a:spLocks noChangeShapeType="1"/>
        </xdr:cNvSpPr>
      </xdr:nvSpPr>
      <xdr:spPr bwMode="auto">
        <a:xfrm>
          <a:off x="6162675" y="7381875"/>
          <a:ext cx="0" cy="904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41</xdr:row>
      <xdr:rowOff>142875</xdr:rowOff>
    </xdr:from>
    <xdr:to>
      <xdr:col>3</xdr:col>
      <xdr:colOff>971550</xdr:colOff>
      <xdr:row>41</xdr:row>
      <xdr:rowOff>152400</xdr:rowOff>
    </xdr:to>
    <xdr:sp macro="" textlink="">
      <xdr:nvSpPr>
        <xdr:cNvPr id="9286" name="Line 70">
          <a:extLst>
            <a:ext uri="{FF2B5EF4-FFF2-40B4-BE49-F238E27FC236}">
              <a16:creationId xmlns:a16="http://schemas.microsoft.com/office/drawing/2014/main" id="{00000000-0008-0000-0400-000046240000}"/>
            </a:ext>
          </a:extLst>
        </xdr:cNvPr>
        <xdr:cNvSpPr>
          <a:spLocks noChangeShapeType="1"/>
        </xdr:cNvSpPr>
      </xdr:nvSpPr>
      <xdr:spPr bwMode="auto">
        <a:xfrm flipV="1">
          <a:off x="3714750" y="82677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41</xdr:row>
      <xdr:rowOff>161925</xdr:rowOff>
    </xdr:from>
    <xdr:to>
      <xdr:col>6</xdr:col>
      <xdr:colOff>523875</xdr:colOff>
      <xdr:row>41</xdr:row>
      <xdr:rowOff>171450</xdr:rowOff>
    </xdr:to>
    <xdr:sp macro="" textlink="">
      <xdr:nvSpPr>
        <xdr:cNvPr id="9287" name="Line 71">
          <a:extLst>
            <a:ext uri="{FF2B5EF4-FFF2-40B4-BE49-F238E27FC236}">
              <a16:creationId xmlns:a16="http://schemas.microsoft.com/office/drawing/2014/main" id="{00000000-0008-0000-0400-000047240000}"/>
            </a:ext>
          </a:extLst>
        </xdr:cNvPr>
        <xdr:cNvSpPr>
          <a:spLocks noChangeShapeType="1"/>
        </xdr:cNvSpPr>
      </xdr:nvSpPr>
      <xdr:spPr bwMode="auto">
        <a:xfrm flipV="1">
          <a:off x="5000625" y="8286750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485775</xdr:colOff>
      <xdr:row>35</xdr:row>
      <xdr:rowOff>123825</xdr:rowOff>
    </xdr:from>
    <xdr:to>
      <xdr:col>5</xdr:col>
      <xdr:colOff>676275</xdr:colOff>
      <xdr:row>37</xdr:row>
      <xdr:rowOff>104775</xdr:rowOff>
    </xdr:to>
    <xdr:sp macro="" textlink="">
      <xdr:nvSpPr>
        <xdr:cNvPr id="9288" name="Freeform 72">
          <a:extLst>
            <a:ext uri="{FF2B5EF4-FFF2-40B4-BE49-F238E27FC236}">
              <a16:creationId xmlns:a16="http://schemas.microsoft.com/office/drawing/2014/main" id="{00000000-0008-0000-0400-000048240000}"/>
            </a:ext>
          </a:extLst>
        </xdr:cNvPr>
        <xdr:cNvSpPr>
          <a:spLocks/>
        </xdr:cNvSpPr>
      </xdr:nvSpPr>
      <xdr:spPr bwMode="auto">
        <a:xfrm>
          <a:off x="5372100" y="7200900"/>
          <a:ext cx="190500" cy="3429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514350</xdr:colOff>
      <xdr:row>38</xdr:row>
      <xdr:rowOff>161925</xdr:rowOff>
    </xdr:from>
    <xdr:to>
      <xdr:col>0</xdr:col>
      <xdr:colOff>800100</xdr:colOff>
      <xdr:row>40</xdr:row>
      <xdr:rowOff>28575</xdr:rowOff>
    </xdr:to>
    <xdr:sp macro="" textlink="">
      <xdr:nvSpPr>
        <xdr:cNvPr id="9290" name="Text Box 74">
          <a:extLst>
            <a:ext uri="{FF2B5EF4-FFF2-40B4-BE49-F238E27FC236}">
              <a16:creationId xmlns:a16="http://schemas.microsoft.com/office/drawing/2014/main" id="{00000000-0008-0000-0400-00004A240000}"/>
            </a:ext>
          </a:extLst>
        </xdr:cNvPr>
        <xdr:cNvSpPr txBox="1">
          <a:spLocks noChangeArrowheads="1"/>
        </xdr:cNvSpPr>
      </xdr:nvSpPr>
      <xdr:spPr bwMode="auto">
        <a:xfrm>
          <a:off x="514350" y="776287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5</xdr:col>
      <xdr:colOff>666750</xdr:colOff>
      <xdr:row>37</xdr:row>
      <xdr:rowOff>57150</xdr:rowOff>
    </xdr:from>
    <xdr:to>
      <xdr:col>5</xdr:col>
      <xdr:colOff>666750</xdr:colOff>
      <xdr:row>38</xdr:row>
      <xdr:rowOff>47625</xdr:rowOff>
    </xdr:to>
    <xdr:sp macro="" textlink="">
      <xdr:nvSpPr>
        <xdr:cNvPr id="9289" name="Line 73">
          <a:extLst>
            <a:ext uri="{FF2B5EF4-FFF2-40B4-BE49-F238E27FC236}">
              <a16:creationId xmlns:a16="http://schemas.microsoft.com/office/drawing/2014/main" id="{00000000-0008-0000-0400-000049240000}"/>
            </a:ext>
          </a:extLst>
        </xdr:cNvPr>
        <xdr:cNvSpPr>
          <a:spLocks noChangeShapeType="1"/>
        </xdr:cNvSpPr>
      </xdr:nvSpPr>
      <xdr:spPr bwMode="auto">
        <a:xfrm flipH="1">
          <a:off x="5553075" y="74961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157</xdr:row>
      <xdr:rowOff>0</xdr:rowOff>
    </xdr:from>
    <xdr:to>
      <xdr:col>10</xdr:col>
      <xdr:colOff>476250</xdr:colOff>
      <xdr:row>186</xdr:row>
      <xdr:rowOff>152400</xdr:rowOff>
    </xdr:to>
    <xdr:graphicFrame macro="">
      <xdr:nvGraphicFramePr>
        <xdr:cNvPr id="9314" name="Diagramm 98">
          <a:extLst>
            <a:ext uri="{FF2B5EF4-FFF2-40B4-BE49-F238E27FC236}">
              <a16:creationId xmlns:a16="http://schemas.microsoft.com/office/drawing/2014/main" id="{00000000-0008-0000-0400-00006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1209675</xdr:colOff>
      <xdr:row>34</xdr:row>
      <xdr:rowOff>76200</xdr:rowOff>
    </xdr:from>
    <xdr:to>
      <xdr:col>4</xdr:col>
      <xdr:colOff>390525</xdr:colOff>
      <xdr:row>35</xdr:row>
      <xdr:rowOff>85725</xdr:rowOff>
    </xdr:to>
    <xdr:sp macro="" textlink="">
      <xdr:nvSpPr>
        <xdr:cNvPr id="9315" name="Rectangle 99">
          <a:extLst>
            <a:ext uri="{FF2B5EF4-FFF2-40B4-BE49-F238E27FC236}">
              <a16:creationId xmlns:a16="http://schemas.microsoft.com/office/drawing/2014/main" id="{00000000-0008-0000-0400-000063240000}"/>
            </a:ext>
          </a:extLst>
        </xdr:cNvPr>
        <xdr:cNvSpPr>
          <a:spLocks noChangeArrowheads="1"/>
        </xdr:cNvSpPr>
      </xdr:nvSpPr>
      <xdr:spPr bwMode="auto">
        <a:xfrm>
          <a:off x="3962400" y="6953250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34</xdr:row>
      <xdr:rowOff>123825</xdr:rowOff>
    </xdr:from>
    <xdr:to>
      <xdr:col>3</xdr:col>
      <xdr:colOff>819150</xdr:colOff>
      <xdr:row>35</xdr:row>
      <xdr:rowOff>85725</xdr:rowOff>
    </xdr:to>
    <xdr:sp macro="" textlink="">
      <xdr:nvSpPr>
        <xdr:cNvPr id="9316" name="Rectangle 100">
          <a:extLst>
            <a:ext uri="{FF2B5EF4-FFF2-40B4-BE49-F238E27FC236}">
              <a16:creationId xmlns:a16="http://schemas.microsoft.com/office/drawing/2014/main" id="{00000000-0008-0000-0400-000064240000}"/>
            </a:ext>
          </a:extLst>
        </xdr:cNvPr>
        <xdr:cNvSpPr>
          <a:spLocks noChangeArrowheads="1"/>
        </xdr:cNvSpPr>
      </xdr:nvSpPr>
      <xdr:spPr bwMode="auto">
        <a:xfrm>
          <a:off x="3038475" y="700087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35</xdr:row>
      <xdr:rowOff>0</xdr:rowOff>
    </xdr:from>
    <xdr:to>
      <xdr:col>3</xdr:col>
      <xdr:colOff>1257300</xdr:colOff>
      <xdr:row>35</xdr:row>
      <xdr:rowOff>0</xdr:rowOff>
    </xdr:to>
    <xdr:sp macro="" textlink="">
      <xdr:nvSpPr>
        <xdr:cNvPr id="9317" name="Line 101">
          <a:extLst>
            <a:ext uri="{FF2B5EF4-FFF2-40B4-BE49-F238E27FC236}">
              <a16:creationId xmlns:a16="http://schemas.microsoft.com/office/drawing/2014/main" id="{00000000-0008-0000-0400-000065240000}"/>
            </a:ext>
          </a:extLst>
        </xdr:cNvPr>
        <xdr:cNvSpPr>
          <a:spLocks noChangeShapeType="1"/>
        </xdr:cNvSpPr>
      </xdr:nvSpPr>
      <xdr:spPr bwMode="auto">
        <a:xfrm>
          <a:off x="3581400" y="70770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35</xdr:row>
      <xdr:rowOff>9525</xdr:rowOff>
    </xdr:from>
    <xdr:to>
      <xdr:col>3</xdr:col>
      <xdr:colOff>276225</xdr:colOff>
      <xdr:row>35</xdr:row>
      <xdr:rowOff>9525</xdr:rowOff>
    </xdr:to>
    <xdr:sp macro="" textlink="">
      <xdr:nvSpPr>
        <xdr:cNvPr id="9318" name="Line 102">
          <a:extLst>
            <a:ext uri="{FF2B5EF4-FFF2-40B4-BE49-F238E27FC236}">
              <a16:creationId xmlns:a16="http://schemas.microsoft.com/office/drawing/2014/main" id="{00000000-0008-0000-0400-000066240000}"/>
            </a:ext>
          </a:extLst>
        </xdr:cNvPr>
        <xdr:cNvSpPr>
          <a:spLocks noChangeShapeType="1"/>
        </xdr:cNvSpPr>
      </xdr:nvSpPr>
      <xdr:spPr bwMode="auto">
        <a:xfrm>
          <a:off x="2771775" y="7086600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31</xdr:row>
      <xdr:rowOff>66675</xdr:rowOff>
    </xdr:from>
    <xdr:to>
      <xdr:col>4</xdr:col>
      <xdr:colOff>95250</xdr:colOff>
      <xdr:row>32</xdr:row>
      <xdr:rowOff>142875</xdr:rowOff>
    </xdr:to>
    <xdr:sp macro="" textlink="">
      <xdr:nvSpPr>
        <xdr:cNvPr id="9319" name="Line 103">
          <a:extLst>
            <a:ext uri="{FF2B5EF4-FFF2-40B4-BE49-F238E27FC236}">
              <a16:creationId xmlns:a16="http://schemas.microsoft.com/office/drawing/2014/main" id="{00000000-0008-0000-0400-000067240000}"/>
            </a:ext>
          </a:extLst>
        </xdr:cNvPr>
        <xdr:cNvSpPr>
          <a:spLocks noChangeShapeType="1"/>
        </xdr:cNvSpPr>
      </xdr:nvSpPr>
      <xdr:spPr bwMode="auto">
        <a:xfrm>
          <a:off x="4219575" y="6276975"/>
          <a:ext cx="0" cy="2762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66675</xdr:rowOff>
    </xdr:from>
    <xdr:to>
      <xdr:col>4</xdr:col>
      <xdr:colOff>0</xdr:colOff>
      <xdr:row>32</xdr:row>
      <xdr:rowOff>142875</xdr:rowOff>
    </xdr:to>
    <xdr:sp macro="" textlink="">
      <xdr:nvSpPr>
        <xdr:cNvPr id="9320" name="Line 104">
          <a:extLst>
            <a:ext uri="{FF2B5EF4-FFF2-40B4-BE49-F238E27FC236}">
              <a16:creationId xmlns:a16="http://schemas.microsoft.com/office/drawing/2014/main" id="{00000000-0008-0000-0400-000068240000}"/>
            </a:ext>
          </a:extLst>
        </xdr:cNvPr>
        <xdr:cNvSpPr>
          <a:spLocks noChangeShapeType="1"/>
        </xdr:cNvSpPr>
      </xdr:nvSpPr>
      <xdr:spPr bwMode="auto">
        <a:xfrm>
          <a:off x="4124325" y="6276975"/>
          <a:ext cx="0" cy="2762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31</xdr:row>
      <xdr:rowOff>190500</xdr:rowOff>
    </xdr:from>
    <xdr:to>
      <xdr:col>5</xdr:col>
      <xdr:colOff>542925</xdr:colOff>
      <xdr:row>32</xdr:row>
      <xdr:rowOff>0</xdr:rowOff>
    </xdr:to>
    <xdr:sp macro="" textlink="">
      <xdr:nvSpPr>
        <xdr:cNvPr id="9321" name="Line 105">
          <a:extLst>
            <a:ext uri="{FF2B5EF4-FFF2-40B4-BE49-F238E27FC236}">
              <a16:creationId xmlns:a16="http://schemas.microsoft.com/office/drawing/2014/main" id="{00000000-0008-0000-0400-000069240000}"/>
            </a:ext>
          </a:extLst>
        </xdr:cNvPr>
        <xdr:cNvSpPr>
          <a:spLocks noChangeShapeType="1"/>
        </xdr:cNvSpPr>
      </xdr:nvSpPr>
      <xdr:spPr bwMode="auto">
        <a:xfrm flipV="1">
          <a:off x="4248150" y="6400800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32</xdr:row>
      <xdr:rowOff>0</xdr:rowOff>
    </xdr:from>
    <xdr:to>
      <xdr:col>3</xdr:col>
      <xdr:colOff>1362075</xdr:colOff>
      <xdr:row>32</xdr:row>
      <xdr:rowOff>9525</xdr:rowOff>
    </xdr:to>
    <xdr:sp macro="" textlink="">
      <xdr:nvSpPr>
        <xdr:cNvPr id="9322" name="Line 106">
          <a:extLst>
            <a:ext uri="{FF2B5EF4-FFF2-40B4-BE49-F238E27FC236}">
              <a16:creationId xmlns:a16="http://schemas.microsoft.com/office/drawing/2014/main" id="{00000000-0008-0000-0400-00006A240000}"/>
            </a:ext>
          </a:extLst>
        </xdr:cNvPr>
        <xdr:cNvSpPr>
          <a:spLocks noChangeShapeType="1"/>
        </xdr:cNvSpPr>
      </xdr:nvSpPr>
      <xdr:spPr bwMode="auto">
        <a:xfrm flipV="1">
          <a:off x="2781300" y="6410325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32</xdr:row>
      <xdr:rowOff>0</xdr:rowOff>
    </xdr:from>
    <xdr:to>
      <xdr:col>5</xdr:col>
      <xdr:colOff>542925</xdr:colOff>
      <xdr:row>35</xdr:row>
      <xdr:rowOff>9525</xdr:rowOff>
    </xdr:to>
    <xdr:sp macro="" textlink="">
      <xdr:nvSpPr>
        <xdr:cNvPr id="9323" name="Line 107">
          <a:extLst>
            <a:ext uri="{FF2B5EF4-FFF2-40B4-BE49-F238E27FC236}">
              <a16:creationId xmlns:a16="http://schemas.microsoft.com/office/drawing/2014/main" id="{00000000-0008-0000-0400-00006B240000}"/>
            </a:ext>
          </a:extLst>
        </xdr:cNvPr>
        <xdr:cNvSpPr>
          <a:spLocks noChangeShapeType="1"/>
        </xdr:cNvSpPr>
      </xdr:nvSpPr>
      <xdr:spPr bwMode="auto">
        <a:xfrm>
          <a:off x="5419725" y="6410325"/>
          <a:ext cx="9525" cy="676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19050</xdr:colOff>
      <xdr:row>35</xdr:row>
      <xdr:rowOff>9525</xdr:rowOff>
    </xdr:to>
    <xdr:sp macro="" textlink="">
      <xdr:nvSpPr>
        <xdr:cNvPr id="9324" name="Line 108">
          <a:extLst>
            <a:ext uri="{FF2B5EF4-FFF2-40B4-BE49-F238E27FC236}">
              <a16:creationId xmlns:a16="http://schemas.microsoft.com/office/drawing/2014/main" id="{00000000-0008-0000-0400-00006C240000}"/>
            </a:ext>
          </a:extLst>
        </xdr:cNvPr>
        <xdr:cNvSpPr>
          <a:spLocks noChangeShapeType="1"/>
        </xdr:cNvSpPr>
      </xdr:nvSpPr>
      <xdr:spPr bwMode="auto">
        <a:xfrm>
          <a:off x="2771775" y="6429375"/>
          <a:ext cx="0" cy="657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35</xdr:row>
      <xdr:rowOff>0</xdr:rowOff>
    </xdr:from>
    <xdr:to>
      <xdr:col>5</xdr:col>
      <xdr:colOff>533400</xdr:colOff>
      <xdr:row>35</xdr:row>
      <xdr:rowOff>0</xdr:rowOff>
    </xdr:to>
    <xdr:sp macro="" textlink="">
      <xdr:nvSpPr>
        <xdr:cNvPr id="9325" name="Line 109">
          <a:extLst>
            <a:ext uri="{FF2B5EF4-FFF2-40B4-BE49-F238E27FC236}">
              <a16:creationId xmlns:a16="http://schemas.microsoft.com/office/drawing/2014/main" id="{00000000-0008-0000-0400-00006D240000}"/>
            </a:ext>
          </a:extLst>
        </xdr:cNvPr>
        <xdr:cNvSpPr>
          <a:spLocks noChangeShapeType="1"/>
        </xdr:cNvSpPr>
      </xdr:nvSpPr>
      <xdr:spPr bwMode="auto">
        <a:xfrm flipV="1">
          <a:off x="4543425" y="7077075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35</xdr:row>
      <xdr:rowOff>133350</xdr:rowOff>
    </xdr:from>
    <xdr:to>
      <xdr:col>4</xdr:col>
      <xdr:colOff>400050</xdr:colOff>
      <xdr:row>35</xdr:row>
      <xdr:rowOff>133350</xdr:rowOff>
    </xdr:to>
    <xdr:sp macro="" textlink="">
      <xdr:nvSpPr>
        <xdr:cNvPr id="9326" name="Line 110">
          <a:extLst>
            <a:ext uri="{FF2B5EF4-FFF2-40B4-BE49-F238E27FC236}">
              <a16:creationId xmlns:a16="http://schemas.microsoft.com/office/drawing/2014/main" id="{00000000-0008-0000-0400-00006E240000}"/>
            </a:ext>
          </a:extLst>
        </xdr:cNvPr>
        <xdr:cNvSpPr>
          <a:spLocks noChangeShapeType="1"/>
        </xdr:cNvSpPr>
      </xdr:nvSpPr>
      <xdr:spPr bwMode="auto">
        <a:xfrm>
          <a:off x="4000500" y="7210425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28</xdr:row>
      <xdr:rowOff>114300</xdr:rowOff>
    </xdr:from>
    <xdr:to>
      <xdr:col>3</xdr:col>
      <xdr:colOff>838200</xdr:colOff>
      <xdr:row>29</xdr:row>
      <xdr:rowOff>76200</xdr:rowOff>
    </xdr:to>
    <xdr:sp macro="" textlink="">
      <xdr:nvSpPr>
        <xdr:cNvPr id="9343" name="Rectangle 127">
          <a:extLst>
            <a:ext uri="{FF2B5EF4-FFF2-40B4-BE49-F238E27FC236}">
              <a16:creationId xmlns:a16="http://schemas.microsoft.com/office/drawing/2014/main" id="{00000000-0008-0000-0400-00007F240000}"/>
            </a:ext>
          </a:extLst>
        </xdr:cNvPr>
        <xdr:cNvSpPr>
          <a:spLocks noChangeArrowheads="1"/>
        </xdr:cNvSpPr>
      </xdr:nvSpPr>
      <xdr:spPr bwMode="auto">
        <a:xfrm>
          <a:off x="3057525" y="572452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29</xdr:row>
      <xdr:rowOff>0</xdr:rowOff>
    </xdr:from>
    <xdr:to>
      <xdr:col>3</xdr:col>
      <xdr:colOff>1285875</xdr:colOff>
      <xdr:row>29</xdr:row>
      <xdr:rowOff>0</xdr:rowOff>
    </xdr:to>
    <xdr:sp macro="" textlink="">
      <xdr:nvSpPr>
        <xdr:cNvPr id="9344" name="Line 128">
          <a:extLst>
            <a:ext uri="{FF2B5EF4-FFF2-40B4-BE49-F238E27FC236}">
              <a16:creationId xmlns:a16="http://schemas.microsoft.com/office/drawing/2014/main" id="{00000000-0008-0000-0400-000080240000}"/>
            </a:ext>
          </a:extLst>
        </xdr:cNvPr>
        <xdr:cNvSpPr>
          <a:spLocks noChangeShapeType="1"/>
        </xdr:cNvSpPr>
      </xdr:nvSpPr>
      <xdr:spPr bwMode="auto">
        <a:xfrm>
          <a:off x="3609975" y="581025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28</xdr:row>
      <xdr:rowOff>180975</xdr:rowOff>
    </xdr:from>
    <xdr:to>
      <xdr:col>5</xdr:col>
      <xdr:colOff>514350</xdr:colOff>
      <xdr:row>28</xdr:row>
      <xdr:rowOff>190500</xdr:rowOff>
    </xdr:to>
    <xdr:sp macro="" textlink="">
      <xdr:nvSpPr>
        <xdr:cNvPr id="9345" name="Line 129">
          <a:extLst>
            <a:ext uri="{FF2B5EF4-FFF2-40B4-BE49-F238E27FC236}">
              <a16:creationId xmlns:a16="http://schemas.microsoft.com/office/drawing/2014/main" id="{00000000-0008-0000-0400-000081240000}"/>
            </a:ext>
          </a:extLst>
        </xdr:cNvPr>
        <xdr:cNvSpPr>
          <a:spLocks noChangeShapeType="1"/>
        </xdr:cNvSpPr>
      </xdr:nvSpPr>
      <xdr:spPr bwMode="auto">
        <a:xfrm>
          <a:off x="4648200" y="5791200"/>
          <a:ext cx="752475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28</xdr:row>
      <xdr:rowOff>171450</xdr:rowOff>
    </xdr:from>
    <xdr:to>
      <xdr:col>5</xdr:col>
      <xdr:colOff>533400</xdr:colOff>
      <xdr:row>32</xdr:row>
      <xdr:rowOff>0</xdr:rowOff>
    </xdr:to>
    <xdr:sp macro="" textlink="">
      <xdr:nvSpPr>
        <xdr:cNvPr id="9346" name="Line 130">
          <a:extLst>
            <a:ext uri="{FF2B5EF4-FFF2-40B4-BE49-F238E27FC236}">
              <a16:creationId xmlns:a16="http://schemas.microsoft.com/office/drawing/2014/main" id="{00000000-0008-0000-0400-000082240000}"/>
            </a:ext>
          </a:extLst>
        </xdr:cNvPr>
        <xdr:cNvSpPr>
          <a:spLocks noChangeShapeType="1"/>
        </xdr:cNvSpPr>
      </xdr:nvSpPr>
      <xdr:spPr bwMode="auto">
        <a:xfrm>
          <a:off x="5410200" y="5781675"/>
          <a:ext cx="9525" cy="628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190500</xdr:rowOff>
    </xdr:from>
    <xdr:to>
      <xdr:col>3</xdr:col>
      <xdr:colOff>9525</xdr:colOff>
      <xdr:row>32</xdr:row>
      <xdr:rowOff>19050</xdr:rowOff>
    </xdr:to>
    <xdr:sp macro="" textlink="">
      <xdr:nvSpPr>
        <xdr:cNvPr id="9347" name="Line 131">
          <a:extLst>
            <a:ext uri="{FF2B5EF4-FFF2-40B4-BE49-F238E27FC236}">
              <a16:creationId xmlns:a16="http://schemas.microsoft.com/office/drawing/2014/main" id="{00000000-0008-0000-0400-000083240000}"/>
            </a:ext>
          </a:extLst>
        </xdr:cNvPr>
        <xdr:cNvSpPr>
          <a:spLocks noChangeShapeType="1"/>
        </xdr:cNvSpPr>
      </xdr:nvSpPr>
      <xdr:spPr bwMode="auto">
        <a:xfrm>
          <a:off x="2752725" y="5800725"/>
          <a:ext cx="9525" cy="628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28</xdr:row>
      <xdr:rowOff>190500</xdr:rowOff>
    </xdr:from>
    <xdr:to>
      <xdr:col>3</xdr:col>
      <xdr:colOff>295275</xdr:colOff>
      <xdr:row>29</xdr:row>
      <xdr:rowOff>0</xdr:rowOff>
    </xdr:to>
    <xdr:sp macro="" textlink="">
      <xdr:nvSpPr>
        <xdr:cNvPr id="9348" name="Line 132">
          <a:extLst>
            <a:ext uri="{FF2B5EF4-FFF2-40B4-BE49-F238E27FC236}">
              <a16:creationId xmlns:a16="http://schemas.microsoft.com/office/drawing/2014/main" id="{00000000-0008-0000-0400-000084240000}"/>
            </a:ext>
          </a:extLst>
        </xdr:cNvPr>
        <xdr:cNvSpPr>
          <a:spLocks noChangeShapeType="1"/>
        </xdr:cNvSpPr>
      </xdr:nvSpPr>
      <xdr:spPr bwMode="auto">
        <a:xfrm flipV="1">
          <a:off x="2743200" y="5800725"/>
          <a:ext cx="3048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28</xdr:row>
      <xdr:rowOff>66675</xdr:rowOff>
    </xdr:from>
    <xdr:to>
      <xdr:col>4</xdr:col>
      <xdr:colOff>219075</xdr:colOff>
      <xdr:row>28</xdr:row>
      <xdr:rowOff>171450</xdr:rowOff>
    </xdr:to>
    <xdr:sp macro="" textlink="">
      <xdr:nvSpPr>
        <xdr:cNvPr id="9349" name="Line 133">
          <a:extLst>
            <a:ext uri="{FF2B5EF4-FFF2-40B4-BE49-F238E27FC236}">
              <a16:creationId xmlns:a16="http://schemas.microsoft.com/office/drawing/2014/main" id="{00000000-0008-0000-0400-000085240000}"/>
            </a:ext>
          </a:extLst>
        </xdr:cNvPr>
        <xdr:cNvSpPr>
          <a:spLocks noChangeShapeType="1"/>
        </xdr:cNvSpPr>
      </xdr:nvSpPr>
      <xdr:spPr bwMode="auto">
        <a:xfrm flipV="1">
          <a:off x="4152900" y="5676900"/>
          <a:ext cx="190500" cy="10477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28</xdr:row>
      <xdr:rowOff>161925</xdr:rowOff>
    </xdr:from>
    <xdr:to>
      <xdr:col>4</xdr:col>
      <xdr:colOff>447675</xdr:colOff>
      <xdr:row>29</xdr:row>
      <xdr:rowOff>123825</xdr:rowOff>
    </xdr:to>
    <xdr:sp macro="" textlink="">
      <xdr:nvSpPr>
        <xdr:cNvPr id="9350" name="Line 134">
          <a:extLst>
            <a:ext uri="{FF2B5EF4-FFF2-40B4-BE49-F238E27FC236}">
              <a16:creationId xmlns:a16="http://schemas.microsoft.com/office/drawing/2014/main" id="{00000000-0008-0000-0400-000086240000}"/>
            </a:ext>
          </a:extLst>
        </xdr:cNvPr>
        <xdr:cNvSpPr>
          <a:spLocks noChangeShapeType="1"/>
        </xdr:cNvSpPr>
      </xdr:nvSpPr>
      <xdr:spPr bwMode="auto">
        <a:xfrm flipV="1">
          <a:off x="4324350" y="5772150"/>
          <a:ext cx="247650" cy="1619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28</xdr:row>
      <xdr:rowOff>66675</xdr:rowOff>
    </xdr:from>
    <xdr:to>
      <xdr:col>4</xdr:col>
      <xdr:colOff>200025</xdr:colOff>
      <xdr:row>29</xdr:row>
      <xdr:rowOff>142875</xdr:rowOff>
    </xdr:to>
    <xdr:sp macro="" textlink="">
      <xdr:nvSpPr>
        <xdr:cNvPr id="9351" name="Line 135">
          <a:extLst>
            <a:ext uri="{FF2B5EF4-FFF2-40B4-BE49-F238E27FC236}">
              <a16:creationId xmlns:a16="http://schemas.microsoft.com/office/drawing/2014/main" id="{00000000-0008-0000-0400-00008724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5676900"/>
          <a:ext cx="0" cy="2762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94</xdr:row>
      <xdr:rowOff>57150</xdr:rowOff>
    </xdr:from>
    <xdr:to>
      <xdr:col>5</xdr:col>
      <xdr:colOff>533400</xdr:colOff>
      <xdr:row>94</xdr:row>
      <xdr:rowOff>133350</xdr:rowOff>
    </xdr:to>
    <xdr:sp macro="" textlink="">
      <xdr:nvSpPr>
        <xdr:cNvPr id="9431" name="Oval 215">
          <a:extLst>
            <a:ext uri="{FF2B5EF4-FFF2-40B4-BE49-F238E27FC236}">
              <a16:creationId xmlns:a16="http://schemas.microsoft.com/office/drawing/2014/main" id="{00000000-0008-0000-0400-0000D7240000}"/>
            </a:ext>
          </a:extLst>
        </xdr:cNvPr>
        <xdr:cNvSpPr>
          <a:spLocks noChangeArrowheads="1"/>
        </xdr:cNvSpPr>
      </xdr:nvSpPr>
      <xdr:spPr bwMode="auto">
        <a:xfrm>
          <a:off x="5324475" y="17345025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99</xdr:row>
      <xdr:rowOff>123825</xdr:rowOff>
    </xdr:from>
    <xdr:to>
      <xdr:col>0</xdr:col>
      <xdr:colOff>619125</xdr:colOff>
      <xdr:row>100</xdr:row>
      <xdr:rowOff>28575</xdr:rowOff>
    </xdr:to>
    <xdr:sp macro="" textlink="">
      <xdr:nvSpPr>
        <xdr:cNvPr id="9432" name="Oval 216">
          <a:extLst>
            <a:ext uri="{FF2B5EF4-FFF2-40B4-BE49-F238E27FC236}">
              <a16:creationId xmlns:a16="http://schemas.microsoft.com/office/drawing/2014/main" id="{00000000-0008-0000-0400-0000D8240000}"/>
            </a:ext>
          </a:extLst>
        </xdr:cNvPr>
        <xdr:cNvSpPr>
          <a:spLocks noChangeArrowheads="1"/>
        </xdr:cNvSpPr>
      </xdr:nvSpPr>
      <xdr:spPr bwMode="auto">
        <a:xfrm>
          <a:off x="542925" y="182975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94</xdr:row>
      <xdr:rowOff>38100</xdr:rowOff>
    </xdr:from>
    <xdr:to>
      <xdr:col>0</xdr:col>
      <xdr:colOff>676275</xdr:colOff>
      <xdr:row>94</xdr:row>
      <xdr:rowOff>123825</xdr:rowOff>
    </xdr:to>
    <xdr:sp macro="" textlink="">
      <xdr:nvSpPr>
        <xdr:cNvPr id="9433" name="Oval 217">
          <a:extLst>
            <a:ext uri="{FF2B5EF4-FFF2-40B4-BE49-F238E27FC236}">
              <a16:creationId xmlns:a16="http://schemas.microsoft.com/office/drawing/2014/main" id="{00000000-0008-0000-0400-0000D9240000}"/>
            </a:ext>
          </a:extLst>
        </xdr:cNvPr>
        <xdr:cNvSpPr>
          <a:spLocks noChangeArrowheads="1"/>
        </xdr:cNvSpPr>
      </xdr:nvSpPr>
      <xdr:spPr bwMode="auto">
        <a:xfrm>
          <a:off x="600075" y="1732597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94</xdr:row>
      <xdr:rowOff>57150</xdr:rowOff>
    </xdr:from>
    <xdr:to>
      <xdr:col>6</xdr:col>
      <xdr:colOff>66675</xdr:colOff>
      <xdr:row>94</xdr:row>
      <xdr:rowOff>133350</xdr:rowOff>
    </xdr:to>
    <xdr:sp macro="" textlink="">
      <xdr:nvSpPr>
        <xdr:cNvPr id="9434" name="Oval 218">
          <a:extLst>
            <a:ext uri="{FF2B5EF4-FFF2-40B4-BE49-F238E27FC236}">
              <a16:creationId xmlns:a16="http://schemas.microsoft.com/office/drawing/2014/main" id="{00000000-0008-0000-0400-0000DA240000}"/>
            </a:ext>
          </a:extLst>
        </xdr:cNvPr>
        <xdr:cNvSpPr>
          <a:spLocks noChangeArrowheads="1"/>
        </xdr:cNvSpPr>
      </xdr:nvSpPr>
      <xdr:spPr bwMode="auto">
        <a:xfrm>
          <a:off x="5638800" y="173450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93</xdr:row>
      <xdr:rowOff>171450</xdr:rowOff>
    </xdr:from>
    <xdr:to>
      <xdr:col>4</xdr:col>
      <xdr:colOff>400050</xdr:colOff>
      <xdr:row>95</xdr:row>
      <xdr:rowOff>0</xdr:rowOff>
    </xdr:to>
    <xdr:sp macro="" textlink="">
      <xdr:nvSpPr>
        <xdr:cNvPr id="9435" name="Rectangle 219">
          <a:extLst>
            <a:ext uri="{FF2B5EF4-FFF2-40B4-BE49-F238E27FC236}">
              <a16:creationId xmlns:a16="http://schemas.microsoft.com/office/drawing/2014/main" id="{00000000-0008-0000-0400-0000DB240000}"/>
            </a:ext>
          </a:extLst>
        </xdr:cNvPr>
        <xdr:cNvSpPr>
          <a:spLocks noChangeArrowheads="1"/>
        </xdr:cNvSpPr>
      </xdr:nvSpPr>
      <xdr:spPr bwMode="auto">
        <a:xfrm>
          <a:off x="3971925" y="17287875"/>
          <a:ext cx="552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93</xdr:row>
      <xdr:rowOff>190500</xdr:rowOff>
    </xdr:from>
    <xdr:to>
      <xdr:col>3</xdr:col>
      <xdr:colOff>809625</xdr:colOff>
      <xdr:row>94</xdr:row>
      <xdr:rowOff>152400</xdr:rowOff>
    </xdr:to>
    <xdr:sp macro="" textlink="">
      <xdr:nvSpPr>
        <xdr:cNvPr id="9436" name="Rectangle 220">
          <a:extLst>
            <a:ext uri="{FF2B5EF4-FFF2-40B4-BE49-F238E27FC236}">
              <a16:creationId xmlns:a16="http://schemas.microsoft.com/office/drawing/2014/main" id="{00000000-0008-0000-0400-0000DC240000}"/>
            </a:ext>
          </a:extLst>
        </xdr:cNvPr>
        <xdr:cNvSpPr>
          <a:spLocks noChangeArrowheads="1"/>
        </xdr:cNvSpPr>
      </xdr:nvSpPr>
      <xdr:spPr bwMode="auto">
        <a:xfrm>
          <a:off x="3028950" y="17287875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97</xdr:row>
      <xdr:rowOff>28575</xdr:rowOff>
    </xdr:from>
    <xdr:to>
      <xdr:col>5</xdr:col>
      <xdr:colOff>342900</xdr:colOff>
      <xdr:row>97</xdr:row>
      <xdr:rowOff>28575</xdr:rowOff>
    </xdr:to>
    <xdr:sp macro="" textlink="">
      <xdr:nvSpPr>
        <xdr:cNvPr id="9437" name="Line 221">
          <a:extLst>
            <a:ext uri="{FF2B5EF4-FFF2-40B4-BE49-F238E27FC236}">
              <a16:creationId xmlns:a16="http://schemas.microsoft.com/office/drawing/2014/main" id="{00000000-0008-0000-0400-0000DD240000}"/>
            </a:ext>
          </a:extLst>
        </xdr:cNvPr>
        <xdr:cNvSpPr>
          <a:spLocks noChangeShapeType="1"/>
        </xdr:cNvSpPr>
      </xdr:nvSpPr>
      <xdr:spPr bwMode="auto">
        <a:xfrm>
          <a:off x="4752975" y="178403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97</xdr:row>
      <xdr:rowOff>133350</xdr:rowOff>
    </xdr:from>
    <xdr:to>
      <xdr:col>5</xdr:col>
      <xdr:colOff>342900</xdr:colOff>
      <xdr:row>97</xdr:row>
      <xdr:rowOff>133350</xdr:rowOff>
    </xdr:to>
    <xdr:sp macro="" textlink="">
      <xdr:nvSpPr>
        <xdr:cNvPr id="9438" name="Line 222">
          <a:extLst>
            <a:ext uri="{FF2B5EF4-FFF2-40B4-BE49-F238E27FC236}">
              <a16:creationId xmlns:a16="http://schemas.microsoft.com/office/drawing/2014/main" id="{00000000-0008-0000-0400-0000DE240000}"/>
            </a:ext>
          </a:extLst>
        </xdr:cNvPr>
        <xdr:cNvSpPr>
          <a:spLocks noChangeShapeType="1"/>
        </xdr:cNvSpPr>
      </xdr:nvSpPr>
      <xdr:spPr bwMode="auto">
        <a:xfrm>
          <a:off x="4752975" y="1794510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94</xdr:row>
      <xdr:rowOff>104775</xdr:rowOff>
    </xdr:from>
    <xdr:to>
      <xdr:col>5</xdr:col>
      <xdr:colOff>466725</xdr:colOff>
      <xdr:row>94</xdr:row>
      <xdr:rowOff>104775</xdr:rowOff>
    </xdr:to>
    <xdr:sp macro="" textlink="">
      <xdr:nvSpPr>
        <xdr:cNvPr id="9440" name="Line 224">
          <a:extLst>
            <a:ext uri="{FF2B5EF4-FFF2-40B4-BE49-F238E27FC236}">
              <a16:creationId xmlns:a16="http://schemas.microsoft.com/office/drawing/2014/main" id="{00000000-0008-0000-0400-0000E0240000}"/>
            </a:ext>
          </a:extLst>
        </xdr:cNvPr>
        <xdr:cNvSpPr>
          <a:spLocks noChangeShapeType="1"/>
        </xdr:cNvSpPr>
      </xdr:nvSpPr>
      <xdr:spPr bwMode="auto">
        <a:xfrm>
          <a:off x="4972050" y="17392650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94</xdr:row>
      <xdr:rowOff>85725</xdr:rowOff>
    </xdr:from>
    <xdr:to>
      <xdr:col>3</xdr:col>
      <xdr:colOff>285750</xdr:colOff>
      <xdr:row>94</xdr:row>
      <xdr:rowOff>85725</xdr:rowOff>
    </xdr:to>
    <xdr:sp macro="" textlink="">
      <xdr:nvSpPr>
        <xdr:cNvPr id="9441" name="Line 225">
          <a:extLst>
            <a:ext uri="{FF2B5EF4-FFF2-40B4-BE49-F238E27FC236}">
              <a16:creationId xmlns:a16="http://schemas.microsoft.com/office/drawing/2014/main" id="{00000000-0008-0000-0400-0000E1240000}"/>
            </a:ext>
          </a:extLst>
        </xdr:cNvPr>
        <xdr:cNvSpPr>
          <a:spLocks noChangeShapeType="1"/>
        </xdr:cNvSpPr>
      </xdr:nvSpPr>
      <xdr:spPr bwMode="auto">
        <a:xfrm flipV="1">
          <a:off x="695325" y="17373600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94</xdr:row>
      <xdr:rowOff>76200</xdr:rowOff>
    </xdr:from>
    <xdr:to>
      <xdr:col>3</xdr:col>
      <xdr:colOff>1238250</xdr:colOff>
      <xdr:row>94</xdr:row>
      <xdr:rowOff>76200</xdr:rowOff>
    </xdr:to>
    <xdr:sp macro="" textlink="">
      <xdr:nvSpPr>
        <xdr:cNvPr id="9442" name="Line 226">
          <a:extLst>
            <a:ext uri="{FF2B5EF4-FFF2-40B4-BE49-F238E27FC236}">
              <a16:creationId xmlns:a16="http://schemas.microsoft.com/office/drawing/2014/main" id="{00000000-0008-0000-0400-0000E2240000}"/>
            </a:ext>
          </a:extLst>
        </xdr:cNvPr>
        <xdr:cNvSpPr>
          <a:spLocks noChangeShapeType="1"/>
        </xdr:cNvSpPr>
      </xdr:nvSpPr>
      <xdr:spPr bwMode="auto">
        <a:xfrm>
          <a:off x="3562350" y="173640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94</xdr:row>
      <xdr:rowOff>104775</xdr:rowOff>
    </xdr:from>
    <xdr:to>
      <xdr:col>5</xdr:col>
      <xdr:colOff>38100</xdr:colOff>
      <xdr:row>94</xdr:row>
      <xdr:rowOff>104775</xdr:rowOff>
    </xdr:to>
    <xdr:sp macro="" textlink="">
      <xdr:nvSpPr>
        <xdr:cNvPr id="9443" name="Line 227">
          <a:extLst>
            <a:ext uri="{FF2B5EF4-FFF2-40B4-BE49-F238E27FC236}">
              <a16:creationId xmlns:a16="http://schemas.microsoft.com/office/drawing/2014/main" id="{00000000-0008-0000-0400-0000E3240000}"/>
            </a:ext>
          </a:extLst>
        </xdr:cNvPr>
        <xdr:cNvSpPr>
          <a:spLocks noChangeShapeType="1"/>
        </xdr:cNvSpPr>
      </xdr:nvSpPr>
      <xdr:spPr bwMode="auto">
        <a:xfrm>
          <a:off x="4505325" y="17392650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99</xdr:row>
      <xdr:rowOff>171450</xdr:rowOff>
    </xdr:from>
    <xdr:to>
      <xdr:col>5</xdr:col>
      <xdr:colOff>85725</xdr:colOff>
      <xdr:row>99</xdr:row>
      <xdr:rowOff>171450</xdr:rowOff>
    </xdr:to>
    <xdr:sp macro="" textlink="">
      <xdr:nvSpPr>
        <xdr:cNvPr id="9444" name="Line 228">
          <a:extLst>
            <a:ext uri="{FF2B5EF4-FFF2-40B4-BE49-F238E27FC236}">
              <a16:creationId xmlns:a16="http://schemas.microsoft.com/office/drawing/2014/main" id="{00000000-0008-0000-0400-0000E4240000}"/>
            </a:ext>
          </a:extLst>
        </xdr:cNvPr>
        <xdr:cNvSpPr>
          <a:spLocks noChangeShapeType="1"/>
        </xdr:cNvSpPr>
      </xdr:nvSpPr>
      <xdr:spPr bwMode="auto">
        <a:xfrm>
          <a:off x="638175" y="18335625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94</xdr:row>
      <xdr:rowOff>95250</xdr:rowOff>
    </xdr:from>
    <xdr:to>
      <xdr:col>5</xdr:col>
      <xdr:colOff>95250</xdr:colOff>
      <xdr:row>97</xdr:row>
      <xdr:rowOff>28575</xdr:rowOff>
    </xdr:to>
    <xdr:sp macro="" textlink="">
      <xdr:nvSpPr>
        <xdr:cNvPr id="9445" name="Line 229">
          <a:extLst>
            <a:ext uri="{FF2B5EF4-FFF2-40B4-BE49-F238E27FC236}">
              <a16:creationId xmlns:a16="http://schemas.microsoft.com/office/drawing/2014/main" id="{00000000-0008-0000-0400-0000E5240000}"/>
            </a:ext>
          </a:extLst>
        </xdr:cNvPr>
        <xdr:cNvSpPr>
          <a:spLocks noChangeShapeType="1"/>
        </xdr:cNvSpPr>
      </xdr:nvSpPr>
      <xdr:spPr bwMode="auto">
        <a:xfrm>
          <a:off x="4981575" y="17383125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97</xdr:row>
      <xdr:rowOff>133350</xdr:rowOff>
    </xdr:from>
    <xdr:to>
      <xdr:col>5</xdr:col>
      <xdr:colOff>104775</xdr:colOff>
      <xdr:row>99</xdr:row>
      <xdr:rowOff>171450</xdr:rowOff>
    </xdr:to>
    <xdr:sp macro="" textlink="">
      <xdr:nvSpPr>
        <xdr:cNvPr id="9446" name="Line 230">
          <a:extLst>
            <a:ext uri="{FF2B5EF4-FFF2-40B4-BE49-F238E27FC236}">
              <a16:creationId xmlns:a16="http://schemas.microsoft.com/office/drawing/2014/main" id="{00000000-0008-0000-0400-0000E6240000}"/>
            </a:ext>
          </a:extLst>
        </xdr:cNvPr>
        <xdr:cNvSpPr>
          <a:spLocks noChangeShapeType="1"/>
        </xdr:cNvSpPr>
      </xdr:nvSpPr>
      <xdr:spPr bwMode="auto">
        <a:xfrm flipV="1">
          <a:off x="4991100" y="17945100"/>
          <a:ext cx="0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99</xdr:row>
      <xdr:rowOff>171450</xdr:rowOff>
    </xdr:from>
    <xdr:to>
      <xdr:col>1</xdr:col>
      <xdr:colOff>619125</xdr:colOff>
      <xdr:row>99</xdr:row>
      <xdr:rowOff>171450</xdr:rowOff>
    </xdr:to>
    <xdr:sp macro="" textlink="">
      <xdr:nvSpPr>
        <xdr:cNvPr id="9447" name="Line 231">
          <a:extLst>
            <a:ext uri="{FF2B5EF4-FFF2-40B4-BE49-F238E27FC236}">
              <a16:creationId xmlns:a16="http://schemas.microsoft.com/office/drawing/2014/main" id="{00000000-0008-0000-0400-0000E7240000}"/>
            </a:ext>
          </a:extLst>
        </xdr:cNvPr>
        <xdr:cNvSpPr>
          <a:spLocks noChangeShapeType="1"/>
        </xdr:cNvSpPr>
      </xdr:nvSpPr>
      <xdr:spPr bwMode="auto">
        <a:xfrm flipH="1">
          <a:off x="2038350" y="18335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96</xdr:row>
      <xdr:rowOff>0</xdr:rowOff>
    </xdr:from>
    <xdr:ext cx="76200" cy="200025"/>
    <xdr:sp macro="" textlink="">
      <xdr:nvSpPr>
        <xdr:cNvPr id="9448" name="Text Box 232">
          <a:extLst>
            <a:ext uri="{FF2B5EF4-FFF2-40B4-BE49-F238E27FC236}">
              <a16:creationId xmlns:a16="http://schemas.microsoft.com/office/drawing/2014/main" id="{00000000-0008-0000-0400-0000E8240000}"/>
            </a:ext>
          </a:extLst>
        </xdr:cNvPr>
        <xdr:cNvSpPr txBox="1">
          <a:spLocks noChangeArrowheads="1"/>
        </xdr:cNvSpPr>
      </xdr:nvSpPr>
      <xdr:spPr bwMode="auto">
        <a:xfrm>
          <a:off x="1819275" y="1761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98</xdr:row>
      <xdr:rowOff>28575</xdr:rowOff>
    </xdr:from>
    <xdr:to>
      <xdr:col>1</xdr:col>
      <xdr:colOff>542925</xdr:colOff>
      <xdr:row>99</xdr:row>
      <xdr:rowOff>95250</xdr:rowOff>
    </xdr:to>
    <xdr:sp macro="" textlink="">
      <xdr:nvSpPr>
        <xdr:cNvPr id="9449" name="Text Box 233">
          <a:extLst>
            <a:ext uri="{FF2B5EF4-FFF2-40B4-BE49-F238E27FC236}">
              <a16:creationId xmlns:a16="http://schemas.microsoft.com/office/drawing/2014/main" id="{00000000-0008-0000-0400-0000E9240000}"/>
            </a:ext>
          </a:extLst>
        </xdr:cNvPr>
        <xdr:cNvSpPr txBox="1">
          <a:spLocks noChangeArrowheads="1"/>
        </xdr:cNvSpPr>
      </xdr:nvSpPr>
      <xdr:spPr bwMode="auto">
        <a:xfrm>
          <a:off x="2114550" y="18040350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94</xdr:row>
      <xdr:rowOff>95250</xdr:rowOff>
    </xdr:from>
    <xdr:to>
      <xdr:col>6</xdr:col>
      <xdr:colOff>523875</xdr:colOff>
      <xdr:row>94</xdr:row>
      <xdr:rowOff>104775</xdr:rowOff>
    </xdr:to>
    <xdr:sp macro="" textlink="">
      <xdr:nvSpPr>
        <xdr:cNvPr id="9450" name="Line 234">
          <a:extLst>
            <a:ext uri="{FF2B5EF4-FFF2-40B4-BE49-F238E27FC236}">
              <a16:creationId xmlns:a16="http://schemas.microsoft.com/office/drawing/2014/main" id="{00000000-0008-0000-0400-0000EA240000}"/>
            </a:ext>
          </a:extLst>
        </xdr:cNvPr>
        <xdr:cNvSpPr>
          <a:spLocks noChangeShapeType="1"/>
        </xdr:cNvSpPr>
      </xdr:nvSpPr>
      <xdr:spPr bwMode="auto">
        <a:xfrm flipV="1">
          <a:off x="5715000" y="17383125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94</xdr:row>
      <xdr:rowOff>104775</xdr:rowOff>
    </xdr:from>
    <xdr:to>
      <xdr:col>6</xdr:col>
      <xdr:colOff>514350</xdr:colOff>
      <xdr:row>99</xdr:row>
      <xdr:rowOff>161925</xdr:rowOff>
    </xdr:to>
    <xdr:sp macro="" textlink="">
      <xdr:nvSpPr>
        <xdr:cNvPr id="9451" name="Line 235">
          <a:extLst>
            <a:ext uri="{FF2B5EF4-FFF2-40B4-BE49-F238E27FC236}">
              <a16:creationId xmlns:a16="http://schemas.microsoft.com/office/drawing/2014/main" id="{00000000-0008-0000-0400-0000EB240000}"/>
            </a:ext>
          </a:extLst>
        </xdr:cNvPr>
        <xdr:cNvSpPr>
          <a:spLocks noChangeShapeType="1"/>
        </xdr:cNvSpPr>
      </xdr:nvSpPr>
      <xdr:spPr bwMode="auto">
        <a:xfrm>
          <a:off x="6162675" y="17392650"/>
          <a:ext cx="0" cy="9429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99</xdr:row>
      <xdr:rowOff>142875</xdr:rowOff>
    </xdr:from>
    <xdr:to>
      <xdr:col>3</xdr:col>
      <xdr:colOff>971550</xdr:colOff>
      <xdr:row>99</xdr:row>
      <xdr:rowOff>152400</xdr:rowOff>
    </xdr:to>
    <xdr:sp macro="" textlink="">
      <xdr:nvSpPr>
        <xdr:cNvPr id="9452" name="Line 236">
          <a:extLst>
            <a:ext uri="{FF2B5EF4-FFF2-40B4-BE49-F238E27FC236}">
              <a16:creationId xmlns:a16="http://schemas.microsoft.com/office/drawing/2014/main" id="{00000000-0008-0000-0400-0000EC240000}"/>
            </a:ext>
          </a:extLst>
        </xdr:cNvPr>
        <xdr:cNvSpPr>
          <a:spLocks noChangeShapeType="1"/>
        </xdr:cNvSpPr>
      </xdr:nvSpPr>
      <xdr:spPr bwMode="auto">
        <a:xfrm flipV="1">
          <a:off x="3714750" y="18316575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99</xdr:row>
      <xdr:rowOff>161925</xdr:rowOff>
    </xdr:from>
    <xdr:to>
      <xdr:col>6</xdr:col>
      <xdr:colOff>523875</xdr:colOff>
      <xdr:row>99</xdr:row>
      <xdr:rowOff>171450</xdr:rowOff>
    </xdr:to>
    <xdr:sp macro="" textlink="">
      <xdr:nvSpPr>
        <xdr:cNvPr id="9453" name="Line 237">
          <a:extLst>
            <a:ext uri="{FF2B5EF4-FFF2-40B4-BE49-F238E27FC236}">
              <a16:creationId xmlns:a16="http://schemas.microsoft.com/office/drawing/2014/main" id="{00000000-0008-0000-0400-0000ED240000}"/>
            </a:ext>
          </a:extLst>
        </xdr:cNvPr>
        <xdr:cNvSpPr>
          <a:spLocks noChangeShapeType="1"/>
        </xdr:cNvSpPr>
      </xdr:nvSpPr>
      <xdr:spPr bwMode="auto">
        <a:xfrm flipV="1">
          <a:off x="5000625" y="18335625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96</xdr:row>
      <xdr:rowOff>161925</xdr:rowOff>
    </xdr:from>
    <xdr:to>
      <xdr:col>0</xdr:col>
      <xdr:colOff>800100</xdr:colOff>
      <xdr:row>98</xdr:row>
      <xdr:rowOff>28575</xdr:rowOff>
    </xdr:to>
    <xdr:sp macro="" textlink="">
      <xdr:nvSpPr>
        <xdr:cNvPr id="9455" name="Text Box 239">
          <a:extLst>
            <a:ext uri="{FF2B5EF4-FFF2-40B4-BE49-F238E27FC236}">
              <a16:creationId xmlns:a16="http://schemas.microsoft.com/office/drawing/2014/main" id="{00000000-0008-0000-0400-0000EF240000}"/>
            </a:ext>
          </a:extLst>
        </xdr:cNvPr>
        <xdr:cNvSpPr txBox="1">
          <a:spLocks noChangeArrowheads="1"/>
        </xdr:cNvSpPr>
      </xdr:nvSpPr>
      <xdr:spPr bwMode="auto">
        <a:xfrm>
          <a:off x="514350" y="17773650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1209675</xdr:colOff>
      <xdr:row>92</xdr:row>
      <xdr:rowOff>76200</xdr:rowOff>
    </xdr:from>
    <xdr:to>
      <xdr:col>4</xdr:col>
      <xdr:colOff>390525</xdr:colOff>
      <xdr:row>93</xdr:row>
      <xdr:rowOff>85725</xdr:rowOff>
    </xdr:to>
    <xdr:sp macro="" textlink="">
      <xdr:nvSpPr>
        <xdr:cNvPr id="9457" name="Rectangle 241">
          <a:extLst>
            <a:ext uri="{FF2B5EF4-FFF2-40B4-BE49-F238E27FC236}">
              <a16:creationId xmlns:a16="http://schemas.microsoft.com/office/drawing/2014/main" id="{00000000-0008-0000-0400-0000F1240000}"/>
            </a:ext>
          </a:extLst>
        </xdr:cNvPr>
        <xdr:cNvSpPr>
          <a:spLocks noChangeArrowheads="1"/>
        </xdr:cNvSpPr>
      </xdr:nvSpPr>
      <xdr:spPr bwMode="auto">
        <a:xfrm>
          <a:off x="3962400" y="17040225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92</xdr:row>
      <xdr:rowOff>123825</xdr:rowOff>
    </xdr:from>
    <xdr:to>
      <xdr:col>3</xdr:col>
      <xdr:colOff>819150</xdr:colOff>
      <xdr:row>93</xdr:row>
      <xdr:rowOff>85725</xdr:rowOff>
    </xdr:to>
    <xdr:sp macro="" textlink="">
      <xdr:nvSpPr>
        <xdr:cNvPr id="9458" name="Rectangle 242">
          <a:extLst>
            <a:ext uri="{FF2B5EF4-FFF2-40B4-BE49-F238E27FC236}">
              <a16:creationId xmlns:a16="http://schemas.microsoft.com/office/drawing/2014/main" id="{00000000-0008-0000-0400-0000F2240000}"/>
            </a:ext>
          </a:extLst>
        </xdr:cNvPr>
        <xdr:cNvSpPr>
          <a:spLocks noChangeArrowheads="1"/>
        </xdr:cNvSpPr>
      </xdr:nvSpPr>
      <xdr:spPr bwMode="auto">
        <a:xfrm>
          <a:off x="3038475" y="17087850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93</xdr:row>
      <xdr:rowOff>0</xdr:rowOff>
    </xdr:from>
    <xdr:to>
      <xdr:col>3</xdr:col>
      <xdr:colOff>1257300</xdr:colOff>
      <xdr:row>93</xdr:row>
      <xdr:rowOff>0</xdr:rowOff>
    </xdr:to>
    <xdr:sp macro="" textlink="">
      <xdr:nvSpPr>
        <xdr:cNvPr id="9459" name="Line 243">
          <a:extLst>
            <a:ext uri="{FF2B5EF4-FFF2-40B4-BE49-F238E27FC236}">
              <a16:creationId xmlns:a16="http://schemas.microsoft.com/office/drawing/2014/main" id="{00000000-0008-0000-0400-0000F3240000}"/>
            </a:ext>
          </a:extLst>
        </xdr:cNvPr>
        <xdr:cNvSpPr>
          <a:spLocks noChangeShapeType="1"/>
        </xdr:cNvSpPr>
      </xdr:nvSpPr>
      <xdr:spPr bwMode="auto">
        <a:xfrm>
          <a:off x="3581400" y="1712595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93</xdr:row>
      <xdr:rowOff>9525</xdr:rowOff>
    </xdr:from>
    <xdr:to>
      <xdr:col>3</xdr:col>
      <xdr:colOff>276225</xdr:colOff>
      <xdr:row>93</xdr:row>
      <xdr:rowOff>9525</xdr:rowOff>
    </xdr:to>
    <xdr:sp macro="" textlink="">
      <xdr:nvSpPr>
        <xdr:cNvPr id="9460" name="Line 244">
          <a:extLst>
            <a:ext uri="{FF2B5EF4-FFF2-40B4-BE49-F238E27FC236}">
              <a16:creationId xmlns:a16="http://schemas.microsoft.com/office/drawing/2014/main" id="{00000000-0008-0000-0400-0000F4240000}"/>
            </a:ext>
          </a:extLst>
        </xdr:cNvPr>
        <xdr:cNvSpPr>
          <a:spLocks noChangeShapeType="1"/>
        </xdr:cNvSpPr>
      </xdr:nvSpPr>
      <xdr:spPr bwMode="auto">
        <a:xfrm>
          <a:off x="2771775" y="17135475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89</xdr:row>
      <xdr:rowOff>66675</xdr:rowOff>
    </xdr:from>
    <xdr:to>
      <xdr:col>4</xdr:col>
      <xdr:colOff>95250</xdr:colOff>
      <xdr:row>90</xdr:row>
      <xdr:rowOff>142875</xdr:rowOff>
    </xdr:to>
    <xdr:sp macro="" textlink="">
      <xdr:nvSpPr>
        <xdr:cNvPr id="9461" name="Line 245">
          <a:extLst>
            <a:ext uri="{FF2B5EF4-FFF2-40B4-BE49-F238E27FC236}">
              <a16:creationId xmlns:a16="http://schemas.microsoft.com/office/drawing/2014/main" id="{00000000-0008-0000-0400-0000F5240000}"/>
            </a:ext>
          </a:extLst>
        </xdr:cNvPr>
        <xdr:cNvSpPr>
          <a:spLocks noChangeShapeType="1"/>
        </xdr:cNvSpPr>
      </xdr:nvSpPr>
      <xdr:spPr bwMode="auto">
        <a:xfrm>
          <a:off x="4219575" y="16506825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89</xdr:row>
      <xdr:rowOff>66675</xdr:rowOff>
    </xdr:from>
    <xdr:to>
      <xdr:col>4</xdr:col>
      <xdr:colOff>0</xdr:colOff>
      <xdr:row>90</xdr:row>
      <xdr:rowOff>142875</xdr:rowOff>
    </xdr:to>
    <xdr:sp macro="" textlink="">
      <xdr:nvSpPr>
        <xdr:cNvPr id="9462" name="Line 246">
          <a:extLst>
            <a:ext uri="{FF2B5EF4-FFF2-40B4-BE49-F238E27FC236}">
              <a16:creationId xmlns:a16="http://schemas.microsoft.com/office/drawing/2014/main" id="{00000000-0008-0000-0400-0000F6240000}"/>
            </a:ext>
          </a:extLst>
        </xdr:cNvPr>
        <xdr:cNvSpPr>
          <a:spLocks noChangeShapeType="1"/>
        </xdr:cNvSpPr>
      </xdr:nvSpPr>
      <xdr:spPr bwMode="auto">
        <a:xfrm>
          <a:off x="4124325" y="16506825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89</xdr:row>
      <xdr:rowOff>190500</xdr:rowOff>
    </xdr:from>
    <xdr:to>
      <xdr:col>5</xdr:col>
      <xdr:colOff>542925</xdr:colOff>
      <xdr:row>90</xdr:row>
      <xdr:rowOff>0</xdr:rowOff>
    </xdr:to>
    <xdr:sp macro="" textlink="">
      <xdr:nvSpPr>
        <xdr:cNvPr id="9463" name="Line 247">
          <a:extLst>
            <a:ext uri="{FF2B5EF4-FFF2-40B4-BE49-F238E27FC236}">
              <a16:creationId xmlns:a16="http://schemas.microsoft.com/office/drawing/2014/main" id="{00000000-0008-0000-0400-0000F7240000}"/>
            </a:ext>
          </a:extLst>
        </xdr:cNvPr>
        <xdr:cNvSpPr>
          <a:spLocks noChangeShapeType="1"/>
        </xdr:cNvSpPr>
      </xdr:nvSpPr>
      <xdr:spPr bwMode="auto">
        <a:xfrm flipV="1">
          <a:off x="4248150" y="16602075"/>
          <a:ext cx="1181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1362075</xdr:colOff>
      <xdr:row>90</xdr:row>
      <xdr:rowOff>9525</xdr:rowOff>
    </xdr:to>
    <xdr:sp macro="" textlink="">
      <xdr:nvSpPr>
        <xdr:cNvPr id="9464" name="Line 248">
          <a:extLst>
            <a:ext uri="{FF2B5EF4-FFF2-40B4-BE49-F238E27FC236}">
              <a16:creationId xmlns:a16="http://schemas.microsoft.com/office/drawing/2014/main" id="{00000000-0008-0000-0400-0000F8240000}"/>
            </a:ext>
          </a:extLst>
        </xdr:cNvPr>
        <xdr:cNvSpPr>
          <a:spLocks noChangeShapeType="1"/>
        </xdr:cNvSpPr>
      </xdr:nvSpPr>
      <xdr:spPr bwMode="auto">
        <a:xfrm flipV="1">
          <a:off x="2781300" y="16602075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90</xdr:row>
      <xdr:rowOff>0</xdr:rowOff>
    </xdr:from>
    <xdr:to>
      <xdr:col>5</xdr:col>
      <xdr:colOff>542925</xdr:colOff>
      <xdr:row>93</xdr:row>
      <xdr:rowOff>9525</xdr:rowOff>
    </xdr:to>
    <xdr:sp macro="" textlink="">
      <xdr:nvSpPr>
        <xdr:cNvPr id="9465" name="Line 249">
          <a:extLst>
            <a:ext uri="{FF2B5EF4-FFF2-40B4-BE49-F238E27FC236}">
              <a16:creationId xmlns:a16="http://schemas.microsoft.com/office/drawing/2014/main" id="{00000000-0008-0000-0400-0000F9240000}"/>
            </a:ext>
          </a:extLst>
        </xdr:cNvPr>
        <xdr:cNvSpPr>
          <a:spLocks noChangeShapeType="1"/>
        </xdr:cNvSpPr>
      </xdr:nvSpPr>
      <xdr:spPr bwMode="auto">
        <a:xfrm>
          <a:off x="5419725" y="16602075"/>
          <a:ext cx="9525" cy="533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19050</xdr:colOff>
      <xdr:row>93</xdr:row>
      <xdr:rowOff>9525</xdr:rowOff>
    </xdr:to>
    <xdr:sp macro="" textlink="">
      <xdr:nvSpPr>
        <xdr:cNvPr id="9466" name="Line 250">
          <a:extLst>
            <a:ext uri="{FF2B5EF4-FFF2-40B4-BE49-F238E27FC236}">
              <a16:creationId xmlns:a16="http://schemas.microsoft.com/office/drawing/2014/main" id="{00000000-0008-0000-0400-0000FA240000}"/>
            </a:ext>
          </a:extLst>
        </xdr:cNvPr>
        <xdr:cNvSpPr>
          <a:spLocks noChangeShapeType="1"/>
        </xdr:cNvSpPr>
      </xdr:nvSpPr>
      <xdr:spPr bwMode="auto">
        <a:xfrm>
          <a:off x="2771775" y="16621125"/>
          <a:ext cx="0" cy="514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93</xdr:row>
      <xdr:rowOff>0</xdr:rowOff>
    </xdr:from>
    <xdr:to>
      <xdr:col>5</xdr:col>
      <xdr:colOff>533400</xdr:colOff>
      <xdr:row>93</xdr:row>
      <xdr:rowOff>0</xdr:rowOff>
    </xdr:to>
    <xdr:sp macro="" textlink="">
      <xdr:nvSpPr>
        <xdr:cNvPr id="9467" name="Line 251">
          <a:extLst>
            <a:ext uri="{FF2B5EF4-FFF2-40B4-BE49-F238E27FC236}">
              <a16:creationId xmlns:a16="http://schemas.microsoft.com/office/drawing/2014/main" id="{00000000-0008-0000-0400-0000FB240000}"/>
            </a:ext>
          </a:extLst>
        </xdr:cNvPr>
        <xdr:cNvSpPr>
          <a:spLocks noChangeShapeType="1"/>
        </xdr:cNvSpPr>
      </xdr:nvSpPr>
      <xdr:spPr bwMode="auto">
        <a:xfrm flipV="1">
          <a:off x="4543425" y="17125950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93</xdr:row>
      <xdr:rowOff>133350</xdr:rowOff>
    </xdr:from>
    <xdr:to>
      <xdr:col>4</xdr:col>
      <xdr:colOff>400050</xdr:colOff>
      <xdr:row>93</xdr:row>
      <xdr:rowOff>133350</xdr:rowOff>
    </xdr:to>
    <xdr:sp macro="" textlink="">
      <xdr:nvSpPr>
        <xdr:cNvPr id="9468" name="Line 252">
          <a:extLst>
            <a:ext uri="{FF2B5EF4-FFF2-40B4-BE49-F238E27FC236}">
              <a16:creationId xmlns:a16="http://schemas.microsoft.com/office/drawing/2014/main" id="{00000000-0008-0000-0400-0000FC240000}"/>
            </a:ext>
          </a:extLst>
        </xdr:cNvPr>
        <xdr:cNvSpPr>
          <a:spLocks noChangeShapeType="1"/>
        </xdr:cNvSpPr>
      </xdr:nvSpPr>
      <xdr:spPr bwMode="auto">
        <a:xfrm>
          <a:off x="4000500" y="17259300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86</xdr:row>
      <xdr:rowOff>114300</xdr:rowOff>
    </xdr:from>
    <xdr:to>
      <xdr:col>3</xdr:col>
      <xdr:colOff>838200</xdr:colOff>
      <xdr:row>87</xdr:row>
      <xdr:rowOff>76200</xdr:rowOff>
    </xdr:to>
    <xdr:sp macro="" textlink="">
      <xdr:nvSpPr>
        <xdr:cNvPr id="9469" name="Rectangle 253">
          <a:extLst>
            <a:ext uri="{FF2B5EF4-FFF2-40B4-BE49-F238E27FC236}">
              <a16:creationId xmlns:a16="http://schemas.microsoft.com/office/drawing/2014/main" id="{00000000-0008-0000-0400-0000FD240000}"/>
            </a:ext>
          </a:extLst>
        </xdr:cNvPr>
        <xdr:cNvSpPr>
          <a:spLocks noChangeArrowheads="1"/>
        </xdr:cNvSpPr>
      </xdr:nvSpPr>
      <xdr:spPr bwMode="auto">
        <a:xfrm>
          <a:off x="3057525" y="16030575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87</xdr:row>
      <xdr:rowOff>0</xdr:rowOff>
    </xdr:from>
    <xdr:to>
      <xdr:col>3</xdr:col>
      <xdr:colOff>1285875</xdr:colOff>
      <xdr:row>87</xdr:row>
      <xdr:rowOff>0</xdr:rowOff>
    </xdr:to>
    <xdr:sp macro="" textlink="">
      <xdr:nvSpPr>
        <xdr:cNvPr id="9470" name="Line 254">
          <a:extLst>
            <a:ext uri="{FF2B5EF4-FFF2-40B4-BE49-F238E27FC236}">
              <a16:creationId xmlns:a16="http://schemas.microsoft.com/office/drawing/2014/main" id="{00000000-0008-0000-0400-0000FE240000}"/>
            </a:ext>
          </a:extLst>
        </xdr:cNvPr>
        <xdr:cNvSpPr>
          <a:spLocks noChangeShapeType="1"/>
        </xdr:cNvSpPr>
      </xdr:nvSpPr>
      <xdr:spPr bwMode="auto">
        <a:xfrm>
          <a:off x="3609975" y="160782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86</xdr:row>
      <xdr:rowOff>180975</xdr:rowOff>
    </xdr:from>
    <xdr:to>
      <xdr:col>5</xdr:col>
      <xdr:colOff>514350</xdr:colOff>
      <xdr:row>86</xdr:row>
      <xdr:rowOff>190500</xdr:rowOff>
    </xdr:to>
    <xdr:sp macro="" textlink="">
      <xdr:nvSpPr>
        <xdr:cNvPr id="9471" name="Line 255">
          <a:extLst>
            <a:ext uri="{FF2B5EF4-FFF2-40B4-BE49-F238E27FC236}">
              <a16:creationId xmlns:a16="http://schemas.microsoft.com/office/drawing/2014/main" id="{00000000-0008-0000-0400-0000FF240000}"/>
            </a:ext>
          </a:extLst>
        </xdr:cNvPr>
        <xdr:cNvSpPr>
          <a:spLocks noChangeShapeType="1"/>
        </xdr:cNvSpPr>
      </xdr:nvSpPr>
      <xdr:spPr bwMode="auto">
        <a:xfrm>
          <a:off x="4648200" y="16078200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86</xdr:row>
      <xdr:rowOff>171450</xdr:rowOff>
    </xdr:from>
    <xdr:to>
      <xdr:col>5</xdr:col>
      <xdr:colOff>533400</xdr:colOff>
      <xdr:row>90</xdr:row>
      <xdr:rowOff>0</xdr:rowOff>
    </xdr:to>
    <xdr:sp macro="" textlink="">
      <xdr:nvSpPr>
        <xdr:cNvPr id="9472" name="Line 256">
          <a:extLst>
            <a:ext uri="{FF2B5EF4-FFF2-40B4-BE49-F238E27FC236}">
              <a16:creationId xmlns:a16="http://schemas.microsoft.com/office/drawing/2014/main" id="{00000000-0008-0000-0400-000000250000}"/>
            </a:ext>
          </a:extLst>
        </xdr:cNvPr>
        <xdr:cNvSpPr>
          <a:spLocks noChangeShapeType="1"/>
        </xdr:cNvSpPr>
      </xdr:nvSpPr>
      <xdr:spPr bwMode="auto">
        <a:xfrm>
          <a:off x="5410200" y="16078200"/>
          <a:ext cx="9525" cy="523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86</xdr:row>
      <xdr:rowOff>190500</xdr:rowOff>
    </xdr:from>
    <xdr:to>
      <xdr:col>3</xdr:col>
      <xdr:colOff>9525</xdr:colOff>
      <xdr:row>90</xdr:row>
      <xdr:rowOff>19050</xdr:rowOff>
    </xdr:to>
    <xdr:sp macro="" textlink="">
      <xdr:nvSpPr>
        <xdr:cNvPr id="9473" name="Line 257">
          <a:extLst>
            <a:ext uri="{FF2B5EF4-FFF2-40B4-BE49-F238E27FC236}">
              <a16:creationId xmlns:a16="http://schemas.microsoft.com/office/drawing/2014/main" id="{00000000-0008-0000-0400-000001250000}"/>
            </a:ext>
          </a:extLst>
        </xdr:cNvPr>
        <xdr:cNvSpPr>
          <a:spLocks noChangeShapeType="1"/>
        </xdr:cNvSpPr>
      </xdr:nvSpPr>
      <xdr:spPr bwMode="auto">
        <a:xfrm>
          <a:off x="2752725" y="16078200"/>
          <a:ext cx="9525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86</xdr:row>
      <xdr:rowOff>190500</xdr:rowOff>
    </xdr:from>
    <xdr:to>
      <xdr:col>3</xdr:col>
      <xdr:colOff>295275</xdr:colOff>
      <xdr:row>87</xdr:row>
      <xdr:rowOff>0</xdr:rowOff>
    </xdr:to>
    <xdr:sp macro="" textlink="">
      <xdr:nvSpPr>
        <xdr:cNvPr id="9474" name="Line 258">
          <a:extLst>
            <a:ext uri="{FF2B5EF4-FFF2-40B4-BE49-F238E27FC236}">
              <a16:creationId xmlns:a16="http://schemas.microsoft.com/office/drawing/2014/main" id="{00000000-0008-0000-0400-000002250000}"/>
            </a:ext>
          </a:extLst>
        </xdr:cNvPr>
        <xdr:cNvSpPr>
          <a:spLocks noChangeShapeType="1"/>
        </xdr:cNvSpPr>
      </xdr:nvSpPr>
      <xdr:spPr bwMode="auto">
        <a:xfrm flipV="1">
          <a:off x="2743200" y="16078200"/>
          <a:ext cx="304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86</xdr:row>
      <xdr:rowOff>66675</xdr:rowOff>
    </xdr:from>
    <xdr:to>
      <xdr:col>4</xdr:col>
      <xdr:colOff>219075</xdr:colOff>
      <xdr:row>86</xdr:row>
      <xdr:rowOff>171450</xdr:rowOff>
    </xdr:to>
    <xdr:sp macro="" textlink="">
      <xdr:nvSpPr>
        <xdr:cNvPr id="9475" name="Line 259">
          <a:extLst>
            <a:ext uri="{FF2B5EF4-FFF2-40B4-BE49-F238E27FC236}">
              <a16:creationId xmlns:a16="http://schemas.microsoft.com/office/drawing/2014/main" id="{00000000-0008-0000-0400-000003250000}"/>
            </a:ext>
          </a:extLst>
        </xdr:cNvPr>
        <xdr:cNvSpPr>
          <a:spLocks noChangeShapeType="1"/>
        </xdr:cNvSpPr>
      </xdr:nvSpPr>
      <xdr:spPr bwMode="auto">
        <a:xfrm flipV="1">
          <a:off x="4152900" y="15982950"/>
          <a:ext cx="190500" cy="9525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86</xdr:row>
      <xdr:rowOff>161925</xdr:rowOff>
    </xdr:from>
    <xdr:to>
      <xdr:col>4</xdr:col>
      <xdr:colOff>447675</xdr:colOff>
      <xdr:row>87</xdr:row>
      <xdr:rowOff>123825</xdr:rowOff>
    </xdr:to>
    <xdr:sp macro="" textlink="">
      <xdr:nvSpPr>
        <xdr:cNvPr id="9476" name="Line 260">
          <a:extLst>
            <a:ext uri="{FF2B5EF4-FFF2-40B4-BE49-F238E27FC236}">
              <a16:creationId xmlns:a16="http://schemas.microsoft.com/office/drawing/2014/main" id="{00000000-0008-0000-0400-000004250000}"/>
            </a:ext>
          </a:extLst>
        </xdr:cNvPr>
        <xdr:cNvSpPr>
          <a:spLocks noChangeShapeType="1"/>
        </xdr:cNvSpPr>
      </xdr:nvSpPr>
      <xdr:spPr bwMode="auto">
        <a:xfrm flipV="1">
          <a:off x="4324350" y="16078200"/>
          <a:ext cx="247650" cy="1238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86</xdr:row>
      <xdr:rowOff>66675</xdr:rowOff>
    </xdr:from>
    <xdr:to>
      <xdr:col>4</xdr:col>
      <xdr:colOff>200025</xdr:colOff>
      <xdr:row>87</xdr:row>
      <xdr:rowOff>142875</xdr:rowOff>
    </xdr:to>
    <xdr:sp macro="" textlink="">
      <xdr:nvSpPr>
        <xdr:cNvPr id="9477" name="Line 261">
          <a:extLst>
            <a:ext uri="{FF2B5EF4-FFF2-40B4-BE49-F238E27FC236}">
              <a16:creationId xmlns:a16="http://schemas.microsoft.com/office/drawing/2014/main" id="{00000000-0008-0000-0400-00000525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15982950"/>
          <a:ext cx="0" cy="2381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93</xdr:row>
      <xdr:rowOff>9525</xdr:rowOff>
    </xdr:from>
    <xdr:to>
      <xdr:col>6</xdr:col>
      <xdr:colOff>28575</xdr:colOff>
      <xdr:row>94</xdr:row>
      <xdr:rowOff>76200</xdr:rowOff>
    </xdr:to>
    <xdr:sp macro="" textlink="">
      <xdr:nvSpPr>
        <xdr:cNvPr id="9478" name="Line 262">
          <a:extLst>
            <a:ext uri="{FF2B5EF4-FFF2-40B4-BE49-F238E27FC236}">
              <a16:creationId xmlns:a16="http://schemas.microsoft.com/office/drawing/2014/main" id="{00000000-0008-0000-0400-000006250000}"/>
            </a:ext>
          </a:extLst>
        </xdr:cNvPr>
        <xdr:cNvSpPr>
          <a:spLocks noChangeShapeType="1"/>
        </xdr:cNvSpPr>
      </xdr:nvSpPr>
      <xdr:spPr bwMode="auto">
        <a:xfrm flipV="1">
          <a:off x="5410200" y="17135475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93</xdr:row>
      <xdr:rowOff>95250</xdr:rowOff>
    </xdr:from>
    <xdr:to>
      <xdr:col>5</xdr:col>
      <xdr:colOff>704850</xdr:colOff>
      <xdr:row>95</xdr:row>
      <xdr:rowOff>0</xdr:rowOff>
    </xdr:to>
    <xdr:sp macro="" textlink="">
      <xdr:nvSpPr>
        <xdr:cNvPr id="9479" name="Freeform 263">
          <a:extLst>
            <a:ext uri="{FF2B5EF4-FFF2-40B4-BE49-F238E27FC236}">
              <a16:creationId xmlns:a16="http://schemas.microsoft.com/office/drawing/2014/main" id="{00000000-0008-0000-0400-000007250000}"/>
            </a:ext>
          </a:extLst>
        </xdr:cNvPr>
        <xdr:cNvSpPr>
          <a:spLocks/>
        </xdr:cNvSpPr>
      </xdr:nvSpPr>
      <xdr:spPr bwMode="auto">
        <a:xfrm>
          <a:off x="5381625" y="17221200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352425</xdr:colOff>
      <xdr:row>93</xdr:row>
      <xdr:rowOff>85725</xdr:rowOff>
    </xdr:from>
    <xdr:to>
      <xdr:col>5</xdr:col>
      <xdr:colOff>495300</xdr:colOff>
      <xdr:row>93</xdr:row>
      <xdr:rowOff>95250</xdr:rowOff>
    </xdr:to>
    <xdr:sp macro="" textlink="">
      <xdr:nvSpPr>
        <xdr:cNvPr id="9480" name="Line 264">
          <a:extLst>
            <a:ext uri="{FF2B5EF4-FFF2-40B4-BE49-F238E27FC236}">
              <a16:creationId xmlns:a16="http://schemas.microsoft.com/office/drawing/2014/main" id="{00000000-0008-0000-0400-000008250000}"/>
            </a:ext>
          </a:extLst>
        </xdr:cNvPr>
        <xdr:cNvSpPr>
          <a:spLocks noChangeShapeType="1"/>
        </xdr:cNvSpPr>
      </xdr:nvSpPr>
      <xdr:spPr bwMode="auto">
        <a:xfrm flipH="1" flipV="1">
          <a:off x="5238750" y="17211675"/>
          <a:ext cx="142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790575</xdr:colOff>
      <xdr:row>101</xdr:row>
      <xdr:rowOff>19050</xdr:rowOff>
    </xdr:from>
    <xdr:to>
      <xdr:col>6</xdr:col>
      <xdr:colOff>180975</xdr:colOff>
      <xdr:row>123</xdr:row>
      <xdr:rowOff>133350</xdr:rowOff>
    </xdr:to>
    <xdr:graphicFrame macro="">
      <xdr:nvGraphicFramePr>
        <xdr:cNvPr id="9481" name="Diagramm 265">
          <a:extLst>
            <a:ext uri="{FF2B5EF4-FFF2-40B4-BE49-F238E27FC236}">
              <a16:creationId xmlns:a16="http://schemas.microsoft.com/office/drawing/2014/main" id="{00000000-0008-0000-0400-000009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1343025</xdr:colOff>
      <xdr:row>202</xdr:row>
      <xdr:rowOff>47625</xdr:rowOff>
    </xdr:from>
    <xdr:to>
      <xdr:col>4</xdr:col>
      <xdr:colOff>66675</xdr:colOff>
      <xdr:row>202</xdr:row>
      <xdr:rowOff>123825</xdr:rowOff>
    </xdr:to>
    <xdr:sp macro="" textlink="">
      <xdr:nvSpPr>
        <xdr:cNvPr id="9497" name="Oval 281">
          <a:extLst>
            <a:ext uri="{FF2B5EF4-FFF2-40B4-BE49-F238E27FC236}">
              <a16:creationId xmlns:a16="http://schemas.microsoft.com/office/drawing/2014/main" id="{00000000-0008-0000-0400-000019250000}"/>
            </a:ext>
          </a:extLst>
        </xdr:cNvPr>
        <xdr:cNvSpPr>
          <a:spLocks noChangeArrowheads="1"/>
        </xdr:cNvSpPr>
      </xdr:nvSpPr>
      <xdr:spPr bwMode="auto">
        <a:xfrm>
          <a:off x="4095750" y="35347275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206</xdr:row>
      <xdr:rowOff>104775</xdr:rowOff>
    </xdr:from>
    <xdr:to>
      <xdr:col>0</xdr:col>
      <xdr:colOff>647700</xdr:colOff>
      <xdr:row>207</xdr:row>
      <xdr:rowOff>19050</xdr:rowOff>
    </xdr:to>
    <xdr:sp macro="" textlink="">
      <xdr:nvSpPr>
        <xdr:cNvPr id="9498" name="Oval 282">
          <a:extLst>
            <a:ext uri="{FF2B5EF4-FFF2-40B4-BE49-F238E27FC236}">
              <a16:creationId xmlns:a16="http://schemas.microsoft.com/office/drawing/2014/main" id="{00000000-0008-0000-0400-00001A250000}"/>
            </a:ext>
          </a:extLst>
        </xdr:cNvPr>
        <xdr:cNvSpPr>
          <a:spLocks noChangeArrowheads="1"/>
        </xdr:cNvSpPr>
      </xdr:nvSpPr>
      <xdr:spPr bwMode="auto">
        <a:xfrm>
          <a:off x="571500" y="360711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202</xdr:row>
      <xdr:rowOff>38100</xdr:rowOff>
    </xdr:from>
    <xdr:to>
      <xdr:col>0</xdr:col>
      <xdr:colOff>676275</xdr:colOff>
      <xdr:row>202</xdr:row>
      <xdr:rowOff>123825</xdr:rowOff>
    </xdr:to>
    <xdr:sp macro="" textlink="">
      <xdr:nvSpPr>
        <xdr:cNvPr id="9499" name="Oval 283">
          <a:extLst>
            <a:ext uri="{FF2B5EF4-FFF2-40B4-BE49-F238E27FC236}">
              <a16:creationId xmlns:a16="http://schemas.microsoft.com/office/drawing/2014/main" id="{00000000-0008-0000-0400-00001B250000}"/>
            </a:ext>
          </a:extLst>
        </xdr:cNvPr>
        <xdr:cNvSpPr>
          <a:spLocks noChangeArrowheads="1"/>
        </xdr:cNvSpPr>
      </xdr:nvSpPr>
      <xdr:spPr bwMode="auto">
        <a:xfrm>
          <a:off x="600075" y="3533775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202</xdr:row>
      <xdr:rowOff>47625</xdr:rowOff>
    </xdr:from>
    <xdr:to>
      <xdr:col>4</xdr:col>
      <xdr:colOff>352425</xdr:colOff>
      <xdr:row>202</xdr:row>
      <xdr:rowOff>123825</xdr:rowOff>
    </xdr:to>
    <xdr:sp macro="" textlink="">
      <xdr:nvSpPr>
        <xdr:cNvPr id="9500" name="Oval 284">
          <a:extLst>
            <a:ext uri="{FF2B5EF4-FFF2-40B4-BE49-F238E27FC236}">
              <a16:creationId xmlns:a16="http://schemas.microsoft.com/office/drawing/2014/main" id="{00000000-0008-0000-0400-00001C250000}"/>
            </a:ext>
          </a:extLst>
        </xdr:cNvPr>
        <xdr:cNvSpPr>
          <a:spLocks noChangeArrowheads="1"/>
        </xdr:cNvSpPr>
      </xdr:nvSpPr>
      <xdr:spPr bwMode="auto">
        <a:xfrm>
          <a:off x="4400550" y="353472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201</xdr:row>
      <xdr:rowOff>152400</xdr:rowOff>
    </xdr:from>
    <xdr:to>
      <xdr:col>1</xdr:col>
      <xdr:colOff>561975</xdr:colOff>
      <xdr:row>202</xdr:row>
      <xdr:rowOff>161925</xdr:rowOff>
    </xdr:to>
    <xdr:sp macro="" textlink="">
      <xdr:nvSpPr>
        <xdr:cNvPr id="9501" name="Rectangle 285">
          <a:extLst>
            <a:ext uri="{FF2B5EF4-FFF2-40B4-BE49-F238E27FC236}">
              <a16:creationId xmlns:a16="http://schemas.microsoft.com/office/drawing/2014/main" id="{00000000-0008-0000-0400-00001D250000}"/>
            </a:ext>
          </a:extLst>
        </xdr:cNvPr>
        <xdr:cNvSpPr>
          <a:spLocks noChangeArrowheads="1"/>
        </xdr:cNvSpPr>
      </xdr:nvSpPr>
      <xdr:spPr bwMode="auto">
        <a:xfrm>
          <a:off x="1695450" y="35252025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533400</xdr:colOff>
      <xdr:row>202</xdr:row>
      <xdr:rowOff>171450</xdr:rowOff>
    </xdr:to>
    <xdr:sp macro="" textlink="">
      <xdr:nvSpPr>
        <xdr:cNvPr id="9502" name="Rectangle 286">
          <a:extLst>
            <a:ext uri="{FF2B5EF4-FFF2-40B4-BE49-F238E27FC236}">
              <a16:creationId xmlns:a16="http://schemas.microsoft.com/office/drawing/2014/main" id="{00000000-0008-0000-0400-00001E250000}"/>
            </a:ext>
          </a:extLst>
        </xdr:cNvPr>
        <xdr:cNvSpPr>
          <a:spLocks noChangeArrowheads="1"/>
        </xdr:cNvSpPr>
      </xdr:nvSpPr>
      <xdr:spPr bwMode="auto">
        <a:xfrm>
          <a:off x="2752725" y="35299650"/>
          <a:ext cx="533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762000</xdr:colOff>
      <xdr:row>204</xdr:row>
      <xdr:rowOff>19050</xdr:rowOff>
    </xdr:from>
    <xdr:to>
      <xdr:col>3</xdr:col>
      <xdr:colOff>1238250</xdr:colOff>
      <xdr:row>204</xdr:row>
      <xdr:rowOff>19050</xdr:rowOff>
    </xdr:to>
    <xdr:sp macro="" textlink="">
      <xdr:nvSpPr>
        <xdr:cNvPr id="9503" name="Line 287">
          <a:extLst>
            <a:ext uri="{FF2B5EF4-FFF2-40B4-BE49-F238E27FC236}">
              <a16:creationId xmlns:a16="http://schemas.microsoft.com/office/drawing/2014/main" id="{00000000-0008-0000-0400-00001F250000}"/>
            </a:ext>
          </a:extLst>
        </xdr:cNvPr>
        <xdr:cNvSpPr>
          <a:spLocks noChangeShapeType="1"/>
        </xdr:cNvSpPr>
      </xdr:nvSpPr>
      <xdr:spPr bwMode="auto">
        <a:xfrm>
          <a:off x="3514725" y="3566160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204</xdr:row>
      <xdr:rowOff>152400</xdr:rowOff>
    </xdr:from>
    <xdr:to>
      <xdr:col>3</xdr:col>
      <xdr:colOff>1238250</xdr:colOff>
      <xdr:row>204</xdr:row>
      <xdr:rowOff>152400</xdr:rowOff>
    </xdr:to>
    <xdr:sp macro="" textlink="">
      <xdr:nvSpPr>
        <xdr:cNvPr id="9504" name="Line 288">
          <a:extLst>
            <a:ext uri="{FF2B5EF4-FFF2-40B4-BE49-F238E27FC236}">
              <a16:creationId xmlns:a16="http://schemas.microsoft.com/office/drawing/2014/main" id="{00000000-0008-0000-0400-000020250000}"/>
            </a:ext>
          </a:extLst>
        </xdr:cNvPr>
        <xdr:cNvSpPr>
          <a:spLocks noChangeShapeType="1"/>
        </xdr:cNvSpPr>
      </xdr:nvSpPr>
      <xdr:spPr bwMode="auto">
        <a:xfrm>
          <a:off x="3514725" y="357949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201</xdr:row>
      <xdr:rowOff>38100</xdr:rowOff>
    </xdr:from>
    <xdr:to>
      <xdr:col>4</xdr:col>
      <xdr:colOff>323850</xdr:colOff>
      <xdr:row>202</xdr:row>
      <xdr:rowOff>66675</xdr:rowOff>
    </xdr:to>
    <xdr:sp macro="" textlink="">
      <xdr:nvSpPr>
        <xdr:cNvPr id="9505" name="Line 289">
          <a:extLst>
            <a:ext uri="{FF2B5EF4-FFF2-40B4-BE49-F238E27FC236}">
              <a16:creationId xmlns:a16="http://schemas.microsoft.com/office/drawing/2014/main" id="{00000000-0008-0000-0400-000021250000}"/>
            </a:ext>
          </a:extLst>
        </xdr:cNvPr>
        <xdr:cNvSpPr>
          <a:spLocks noChangeShapeType="1"/>
        </xdr:cNvSpPr>
      </xdr:nvSpPr>
      <xdr:spPr bwMode="auto">
        <a:xfrm flipV="1">
          <a:off x="4181475" y="35137725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202</xdr:row>
      <xdr:rowOff>85725</xdr:rowOff>
    </xdr:from>
    <xdr:to>
      <xdr:col>3</xdr:col>
      <xdr:colOff>1333500</xdr:colOff>
      <xdr:row>202</xdr:row>
      <xdr:rowOff>85725</xdr:rowOff>
    </xdr:to>
    <xdr:sp macro="" textlink="">
      <xdr:nvSpPr>
        <xdr:cNvPr id="9506" name="Line 290">
          <a:extLst>
            <a:ext uri="{FF2B5EF4-FFF2-40B4-BE49-F238E27FC236}">
              <a16:creationId xmlns:a16="http://schemas.microsoft.com/office/drawing/2014/main" id="{00000000-0008-0000-0400-000022250000}"/>
            </a:ext>
          </a:extLst>
        </xdr:cNvPr>
        <xdr:cNvSpPr>
          <a:spLocks noChangeShapeType="1"/>
        </xdr:cNvSpPr>
      </xdr:nvSpPr>
      <xdr:spPr bwMode="auto">
        <a:xfrm>
          <a:off x="3705225" y="353853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202</xdr:row>
      <xdr:rowOff>85725</xdr:rowOff>
    </xdr:from>
    <xdr:to>
      <xdr:col>1</xdr:col>
      <xdr:colOff>57150</xdr:colOff>
      <xdr:row>202</xdr:row>
      <xdr:rowOff>85725</xdr:rowOff>
    </xdr:to>
    <xdr:sp macro="" textlink="">
      <xdr:nvSpPr>
        <xdr:cNvPr id="9507" name="Line 291">
          <a:extLst>
            <a:ext uri="{FF2B5EF4-FFF2-40B4-BE49-F238E27FC236}">
              <a16:creationId xmlns:a16="http://schemas.microsoft.com/office/drawing/2014/main" id="{00000000-0008-0000-0400-000023250000}"/>
            </a:ext>
          </a:extLst>
        </xdr:cNvPr>
        <xdr:cNvSpPr>
          <a:spLocks noChangeShapeType="1"/>
        </xdr:cNvSpPr>
      </xdr:nvSpPr>
      <xdr:spPr bwMode="auto">
        <a:xfrm>
          <a:off x="695325" y="35385375"/>
          <a:ext cx="1047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202</xdr:row>
      <xdr:rowOff>76200</xdr:rowOff>
    </xdr:from>
    <xdr:to>
      <xdr:col>3</xdr:col>
      <xdr:colOff>9525</xdr:colOff>
      <xdr:row>202</xdr:row>
      <xdr:rowOff>76200</xdr:rowOff>
    </xdr:to>
    <xdr:sp macro="" textlink="">
      <xdr:nvSpPr>
        <xdr:cNvPr id="9508" name="Line 292">
          <a:extLst>
            <a:ext uri="{FF2B5EF4-FFF2-40B4-BE49-F238E27FC236}">
              <a16:creationId xmlns:a16="http://schemas.microsoft.com/office/drawing/2014/main" id="{00000000-0008-0000-0400-000024250000}"/>
            </a:ext>
          </a:extLst>
        </xdr:cNvPr>
        <xdr:cNvSpPr>
          <a:spLocks noChangeShapeType="1"/>
        </xdr:cNvSpPr>
      </xdr:nvSpPr>
      <xdr:spPr bwMode="auto">
        <a:xfrm>
          <a:off x="2247900" y="35375850"/>
          <a:ext cx="514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202</xdr:row>
      <xdr:rowOff>85725</xdr:rowOff>
    </xdr:from>
    <xdr:to>
      <xdr:col>3</xdr:col>
      <xdr:colOff>971550</xdr:colOff>
      <xdr:row>202</xdr:row>
      <xdr:rowOff>85725</xdr:rowOff>
    </xdr:to>
    <xdr:sp macro="" textlink="">
      <xdr:nvSpPr>
        <xdr:cNvPr id="9509" name="Line 293">
          <a:extLst>
            <a:ext uri="{FF2B5EF4-FFF2-40B4-BE49-F238E27FC236}">
              <a16:creationId xmlns:a16="http://schemas.microsoft.com/office/drawing/2014/main" id="{00000000-0008-0000-0400-000025250000}"/>
            </a:ext>
          </a:extLst>
        </xdr:cNvPr>
        <xdr:cNvSpPr>
          <a:spLocks noChangeShapeType="1"/>
        </xdr:cNvSpPr>
      </xdr:nvSpPr>
      <xdr:spPr bwMode="auto">
        <a:xfrm>
          <a:off x="3305175" y="353853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207</xdr:row>
      <xdr:rowOff>0</xdr:rowOff>
    </xdr:from>
    <xdr:to>
      <xdr:col>3</xdr:col>
      <xdr:colOff>981075</xdr:colOff>
      <xdr:row>207</xdr:row>
      <xdr:rowOff>0</xdr:rowOff>
    </xdr:to>
    <xdr:sp macro="" textlink="">
      <xdr:nvSpPr>
        <xdr:cNvPr id="9510" name="Line 294">
          <a:extLst>
            <a:ext uri="{FF2B5EF4-FFF2-40B4-BE49-F238E27FC236}">
              <a16:creationId xmlns:a16="http://schemas.microsoft.com/office/drawing/2014/main" id="{00000000-0008-0000-0400-000026250000}"/>
            </a:ext>
          </a:extLst>
        </xdr:cNvPr>
        <xdr:cNvSpPr>
          <a:spLocks noChangeShapeType="1"/>
        </xdr:cNvSpPr>
      </xdr:nvSpPr>
      <xdr:spPr bwMode="auto">
        <a:xfrm>
          <a:off x="657225" y="36128325"/>
          <a:ext cx="3076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202</xdr:row>
      <xdr:rowOff>85725</xdr:rowOff>
    </xdr:from>
    <xdr:to>
      <xdr:col>3</xdr:col>
      <xdr:colOff>952500</xdr:colOff>
      <xdr:row>204</xdr:row>
      <xdr:rowOff>19050</xdr:rowOff>
    </xdr:to>
    <xdr:sp macro="" textlink="">
      <xdr:nvSpPr>
        <xdr:cNvPr id="9511" name="Line 295">
          <a:extLst>
            <a:ext uri="{FF2B5EF4-FFF2-40B4-BE49-F238E27FC236}">
              <a16:creationId xmlns:a16="http://schemas.microsoft.com/office/drawing/2014/main" id="{00000000-0008-0000-0400-000027250000}"/>
            </a:ext>
          </a:extLst>
        </xdr:cNvPr>
        <xdr:cNvSpPr>
          <a:spLocks noChangeShapeType="1"/>
        </xdr:cNvSpPr>
      </xdr:nvSpPr>
      <xdr:spPr bwMode="auto">
        <a:xfrm>
          <a:off x="3705225" y="35385375"/>
          <a:ext cx="0" cy="276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205</xdr:row>
      <xdr:rowOff>0</xdr:rowOff>
    </xdr:from>
    <xdr:to>
      <xdr:col>3</xdr:col>
      <xdr:colOff>962025</xdr:colOff>
      <xdr:row>207</xdr:row>
      <xdr:rowOff>0</xdr:rowOff>
    </xdr:to>
    <xdr:sp macro="" textlink="">
      <xdr:nvSpPr>
        <xdr:cNvPr id="9512" name="Line 296">
          <a:extLst>
            <a:ext uri="{FF2B5EF4-FFF2-40B4-BE49-F238E27FC236}">
              <a16:creationId xmlns:a16="http://schemas.microsoft.com/office/drawing/2014/main" id="{00000000-0008-0000-0400-000028250000}"/>
            </a:ext>
          </a:extLst>
        </xdr:cNvPr>
        <xdr:cNvSpPr>
          <a:spLocks noChangeShapeType="1"/>
        </xdr:cNvSpPr>
      </xdr:nvSpPr>
      <xdr:spPr bwMode="auto">
        <a:xfrm flipV="1">
          <a:off x="3714750" y="35804475"/>
          <a:ext cx="0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203</xdr:row>
      <xdr:rowOff>38100</xdr:rowOff>
    </xdr:from>
    <xdr:to>
      <xdr:col>1</xdr:col>
      <xdr:colOff>381000</xdr:colOff>
      <xdr:row>204</xdr:row>
      <xdr:rowOff>104775</xdr:rowOff>
    </xdr:to>
    <xdr:sp macro="" textlink="">
      <xdr:nvSpPr>
        <xdr:cNvPr id="9513" name="Text Box 297">
          <a:extLst>
            <a:ext uri="{FF2B5EF4-FFF2-40B4-BE49-F238E27FC236}">
              <a16:creationId xmlns:a16="http://schemas.microsoft.com/office/drawing/2014/main" id="{00000000-0008-0000-0400-000029250000}"/>
            </a:ext>
          </a:extLst>
        </xdr:cNvPr>
        <xdr:cNvSpPr txBox="1">
          <a:spLocks noChangeArrowheads="1"/>
        </xdr:cNvSpPr>
      </xdr:nvSpPr>
      <xdr:spPr bwMode="auto">
        <a:xfrm>
          <a:off x="1781175" y="3551872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UL</a:t>
          </a:r>
          <a:endParaRPr lang="de-CH"/>
        </a:p>
      </xdr:txBody>
    </xdr:sp>
    <xdr:clientData/>
  </xdr:twoCellAnchor>
  <xdr:twoCellAnchor>
    <xdr:from>
      <xdr:col>3</xdr:col>
      <xdr:colOff>114300</xdr:colOff>
      <xdr:row>203</xdr:row>
      <xdr:rowOff>28575</xdr:rowOff>
    </xdr:from>
    <xdr:to>
      <xdr:col>3</xdr:col>
      <xdr:colOff>400050</xdr:colOff>
      <xdr:row>204</xdr:row>
      <xdr:rowOff>95250</xdr:rowOff>
    </xdr:to>
    <xdr:sp macro="" textlink="">
      <xdr:nvSpPr>
        <xdr:cNvPr id="9514" name="Text Box 298">
          <a:extLst>
            <a:ext uri="{FF2B5EF4-FFF2-40B4-BE49-F238E27FC236}">
              <a16:creationId xmlns:a16="http://schemas.microsoft.com/office/drawing/2014/main" id="{00000000-0008-0000-0400-00002A250000}"/>
            </a:ext>
          </a:extLst>
        </xdr:cNvPr>
        <xdr:cNvSpPr txBox="1">
          <a:spLocks noChangeArrowheads="1"/>
        </xdr:cNvSpPr>
      </xdr:nvSpPr>
      <xdr:spPr bwMode="auto">
        <a:xfrm>
          <a:off x="2867025" y="3550920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UR</a:t>
          </a:r>
          <a:endParaRPr lang="de-CH"/>
        </a:p>
      </xdr:txBody>
    </xdr:sp>
    <xdr:clientData/>
  </xdr:twoCellAnchor>
  <xdr:twoCellAnchor>
    <xdr:from>
      <xdr:col>1</xdr:col>
      <xdr:colOff>390525</xdr:colOff>
      <xdr:row>206</xdr:row>
      <xdr:rowOff>152400</xdr:rowOff>
    </xdr:from>
    <xdr:to>
      <xdr:col>1</xdr:col>
      <xdr:colOff>638175</xdr:colOff>
      <xdr:row>207</xdr:row>
      <xdr:rowOff>0</xdr:rowOff>
    </xdr:to>
    <xdr:sp macro="" textlink="">
      <xdr:nvSpPr>
        <xdr:cNvPr id="9515" name="Line 299">
          <a:extLst>
            <a:ext uri="{FF2B5EF4-FFF2-40B4-BE49-F238E27FC236}">
              <a16:creationId xmlns:a16="http://schemas.microsoft.com/office/drawing/2014/main" id="{00000000-0008-0000-0400-00002B250000}"/>
            </a:ext>
          </a:extLst>
        </xdr:cNvPr>
        <xdr:cNvSpPr>
          <a:spLocks noChangeShapeType="1"/>
        </xdr:cNvSpPr>
      </xdr:nvSpPr>
      <xdr:spPr bwMode="auto">
        <a:xfrm flipH="1">
          <a:off x="2076450" y="36118800"/>
          <a:ext cx="247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203</xdr:row>
      <xdr:rowOff>0</xdr:rowOff>
    </xdr:from>
    <xdr:ext cx="76200" cy="200025"/>
    <xdr:sp macro="" textlink="">
      <xdr:nvSpPr>
        <xdr:cNvPr id="9516" name="Text Box 300">
          <a:extLst>
            <a:ext uri="{FF2B5EF4-FFF2-40B4-BE49-F238E27FC236}">
              <a16:creationId xmlns:a16="http://schemas.microsoft.com/office/drawing/2014/main" id="{00000000-0008-0000-0400-00002C250000}"/>
            </a:ext>
          </a:extLst>
        </xdr:cNvPr>
        <xdr:cNvSpPr txBox="1">
          <a:spLocks noChangeArrowheads="1"/>
        </xdr:cNvSpPr>
      </xdr:nvSpPr>
      <xdr:spPr bwMode="auto">
        <a:xfrm>
          <a:off x="1819275" y="3548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205</xdr:row>
      <xdr:rowOff>28575</xdr:rowOff>
    </xdr:from>
    <xdr:to>
      <xdr:col>1</xdr:col>
      <xdr:colOff>542925</xdr:colOff>
      <xdr:row>206</xdr:row>
      <xdr:rowOff>95250</xdr:rowOff>
    </xdr:to>
    <xdr:sp macro="" textlink="">
      <xdr:nvSpPr>
        <xdr:cNvPr id="9517" name="Text Box 301">
          <a:extLst>
            <a:ext uri="{FF2B5EF4-FFF2-40B4-BE49-F238E27FC236}">
              <a16:creationId xmlns:a16="http://schemas.microsoft.com/office/drawing/2014/main" id="{00000000-0008-0000-0400-00002D250000}"/>
            </a:ext>
          </a:extLst>
        </xdr:cNvPr>
        <xdr:cNvSpPr txBox="1">
          <a:spLocks noChangeArrowheads="1"/>
        </xdr:cNvSpPr>
      </xdr:nvSpPr>
      <xdr:spPr bwMode="auto">
        <a:xfrm>
          <a:off x="2114550" y="35833050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4</xdr:col>
      <xdr:colOff>342900</xdr:colOff>
      <xdr:row>202</xdr:row>
      <xdr:rowOff>95250</xdr:rowOff>
    </xdr:from>
    <xdr:to>
      <xdr:col>5</xdr:col>
      <xdr:colOff>9525</xdr:colOff>
      <xdr:row>202</xdr:row>
      <xdr:rowOff>95250</xdr:rowOff>
    </xdr:to>
    <xdr:sp macro="" textlink="">
      <xdr:nvSpPr>
        <xdr:cNvPr id="9518" name="Line 302">
          <a:extLst>
            <a:ext uri="{FF2B5EF4-FFF2-40B4-BE49-F238E27FC236}">
              <a16:creationId xmlns:a16="http://schemas.microsoft.com/office/drawing/2014/main" id="{00000000-0008-0000-0400-00002E250000}"/>
            </a:ext>
          </a:extLst>
        </xdr:cNvPr>
        <xdr:cNvSpPr>
          <a:spLocks noChangeShapeType="1"/>
        </xdr:cNvSpPr>
      </xdr:nvSpPr>
      <xdr:spPr bwMode="auto">
        <a:xfrm>
          <a:off x="4467225" y="353949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85725</xdr:rowOff>
    </xdr:from>
    <xdr:to>
      <xdr:col>5</xdr:col>
      <xdr:colOff>0</xdr:colOff>
      <xdr:row>206</xdr:row>
      <xdr:rowOff>142875</xdr:rowOff>
    </xdr:to>
    <xdr:sp macro="" textlink="">
      <xdr:nvSpPr>
        <xdr:cNvPr id="9519" name="Line 303">
          <a:extLst>
            <a:ext uri="{FF2B5EF4-FFF2-40B4-BE49-F238E27FC236}">
              <a16:creationId xmlns:a16="http://schemas.microsoft.com/office/drawing/2014/main" id="{00000000-0008-0000-0400-00002F250000}"/>
            </a:ext>
          </a:extLst>
        </xdr:cNvPr>
        <xdr:cNvSpPr>
          <a:spLocks noChangeShapeType="1"/>
        </xdr:cNvSpPr>
      </xdr:nvSpPr>
      <xdr:spPr bwMode="auto">
        <a:xfrm>
          <a:off x="4886325" y="35385375"/>
          <a:ext cx="0" cy="723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206</xdr:row>
      <xdr:rowOff>142875</xdr:rowOff>
    </xdr:from>
    <xdr:to>
      <xdr:col>3</xdr:col>
      <xdr:colOff>971550</xdr:colOff>
      <xdr:row>206</xdr:row>
      <xdr:rowOff>152400</xdr:rowOff>
    </xdr:to>
    <xdr:sp macro="" textlink="">
      <xdr:nvSpPr>
        <xdr:cNvPr id="9520" name="Line 304">
          <a:extLst>
            <a:ext uri="{FF2B5EF4-FFF2-40B4-BE49-F238E27FC236}">
              <a16:creationId xmlns:a16="http://schemas.microsoft.com/office/drawing/2014/main" id="{00000000-0008-0000-0400-000030250000}"/>
            </a:ext>
          </a:extLst>
        </xdr:cNvPr>
        <xdr:cNvSpPr>
          <a:spLocks noChangeShapeType="1"/>
        </xdr:cNvSpPr>
      </xdr:nvSpPr>
      <xdr:spPr bwMode="auto">
        <a:xfrm flipV="1">
          <a:off x="3714750" y="36109275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206</xdr:row>
      <xdr:rowOff>152400</xdr:rowOff>
    </xdr:from>
    <xdr:to>
      <xdr:col>5</xdr:col>
      <xdr:colOff>9525</xdr:colOff>
      <xdr:row>207</xdr:row>
      <xdr:rowOff>0</xdr:rowOff>
    </xdr:to>
    <xdr:sp macro="" textlink="">
      <xdr:nvSpPr>
        <xdr:cNvPr id="9521" name="Line 305">
          <a:extLst>
            <a:ext uri="{FF2B5EF4-FFF2-40B4-BE49-F238E27FC236}">
              <a16:creationId xmlns:a16="http://schemas.microsoft.com/office/drawing/2014/main" id="{00000000-0008-0000-0400-000031250000}"/>
            </a:ext>
          </a:extLst>
        </xdr:cNvPr>
        <xdr:cNvSpPr>
          <a:spLocks noChangeShapeType="1"/>
        </xdr:cNvSpPr>
      </xdr:nvSpPr>
      <xdr:spPr bwMode="auto">
        <a:xfrm>
          <a:off x="3714750" y="36118800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201</xdr:row>
      <xdr:rowOff>85725</xdr:rowOff>
    </xdr:from>
    <xdr:to>
      <xdr:col>4</xdr:col>
      <xdr:colOff>219075</xdr:colOff>
      <xdr:row>202</xdr:row>
      <xdr:rowOff>114300</xdr:rowOff>
    </xdr:to>
    <xdr:sp macro="" textlink="">
      <xdr:nvSpPr>
        <xdr:cNvPr id="9522" name="Freeform 306">
          <a:extLst>
            <a:ext uri="{FF2B5EF4-FFF2-40B4-BE49-F238E27FC236}">
              <a16:creationId xmlns:a16="http://schemas.microsoft.com/office/drawing/2014/main" id="{00000000-0008-0000-0400-000032250000}"/>
            </a:ext>
          </a:extLst>
        </xdr:cNvPr>
        <xdr:cNvSpPr>
          <a:spLocks/>
        </xdr:cNvSpPr>
      </xdr:nvSpPr>
      <xdr:spPr bwMode="auto">
        <a:xfrm>
          <a:off x="4133850" y="35185350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1314450</xdr:colOff>
      <xdr:row>201</xdr:row>
      <xdr:rowOff>57150</xdr:rowOff>
    </xdr:from>
    <xdr:to>
      <xdr:col>4</xdr:col>
      <xdr:colOff>76200</xdr:colOff>
      <xdr:row>201</xdr:row>
      <xdr:rowOff>95250</xdr:rowOff>
    </xdr:to>
    <xdr:sp macro="" textlink="">
      <xdr:nvSpPr>
        <xdr:cNvPr id="9523" name="Line 307">
          <a:extLst>
            <a:ext uri="{FF2B5EF4-FFF2-40B4-BE49-F238E27FC236}">
              <a16:creationId xmlns:a16="http://schemas.microsoft.com/office/drawing/2014/main" id="{00000000-0008-0000-0400-000033250000}"/>
            </a:ext>
          </a:extLst>
        </xdr:cNvPr>
        <xdr:cNvSpPr>
          <a:spLocks noChangeShapeType="1"/>
        </xdr:cNvSpPr>
      </xdr:nvSpPr>
      <xdr:spPr bwMode="auto">
        <a:xfrm flipH="1" flipV="1">
          <a:off x="4067175" y="35156775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204</xdr:row>
      <xdr:rowOff>0</xdr:rowOff>
    </xdr:from>
    <xdr:to>
      <xdr:col>0</xdr:col>
      <xdr:colOff>752475</xdr:colOff>
      <xdr:row>205</xdr:row>
      <xdr:rowOff>66675</xdr:rowOff>
    </xdr:to>
    <xdr:sp macro="" textlink="">
      <xdr:nvSpPr>
        <xdr:cNvPr id="9524" name="Text Box 308">
          <a:extLst>
            <a:ext uri="{FF2B5EF4-FFF2-40B4-BE49-F238E27FC236}">
              <a16:creationId xmlns:a16="http://schemas.microsoft.com/office/drawing/2014/main" id="{00000000-0008-0000-0400-000034250000}"/>
            </a:ext>
          </a:extLst>
        </xdr:cNvPr>
        <xdr:cNvSpPr txBox="1">
          <a:spLocks noChangeArrowheads="1"/>
        </xdr:cNvSpPr>
      </xdr:nvSpPr>
      <xdr:spPr bwMode="auto">
        <a:xfrm>
          <a:off x="466725" y="3564255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1304925</xdr:colOff>
      <xdr:row>204</xdr:row>
      <xdr:rowOff>9525</xdr:rowOff>
    </xdr:from>
    <xdr:to>
      <xdr:col>4</xdr:col>
      <xdr:colOff>238125</xdr:colOff>
      <xdr:row>205</xdr:row>
      <xdr:rowOff>76200</xdr:rowOff>
    </xdr:to>
    <xdr:sp macro="" textlink="">
      <xdr:nvSpPr>
        <xdr:cNvPr id="9525" name="Text Box 309">
          <a:extLst>
            <a:ext uri="{FF2B5EF4-FFF2-40B4-BE49-F238E27FC236}">
              <a16:creationId xmlns:a16="http://schemas.microsoft.com/office/drawing/2014/main" id="{00000000-0008-0000-0400-000035250000}"/>
            </a:ext>
          </a:extLst>
        </xdr:cNvPr>
        <xdr:cNvSpPr txBox="1">
          <a:spLocks noChangeArrowheads="1"/>
        </xdr:cNvSpPr>
      </xdr:nvSpPr>
      <xdr:spPr bwMode="auto">
        <a:xfrm>
          <a:off x="4057650" y="35652075"/>
          <a:ext cx="304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Uc</a:t>
          </a:r>
          <a:endParaRPr lang="de-CH"/>
        </a:p>
      </xdr:txBody>
    </xdr:sp>
    <xdr:clientData/>
  </xdr:twoCellAnchor>
  <xdr:twoCellAnchor>
    <xdr:from>
      <xdr:col>5</xdr:col>
      <xdr:colOff>438150</xdr:colOff>
      <xdr:row>218</xdr:row>
      <xdr:rowOff>57150</xdr:rowOff>
    </xdr:from>
    <xdr:to>
      <xdr:col>5</xdr:col>
      <xdr:colOff>533400</xdr:colOff>
      <xdr:row>218</xdr:row>
      <xdr:rowOff>133350</xdr:rowOff>
    </xdr:to>
    <xdr:sp macro="" textlink="">
      <xdr:nvSpPr>
        <xdr:cNvPr id="9526" name="Oval 310">
          <a:extLst>
            <a:ext uri="{FF2B5EF4-FFF2-40B4-BE49-F238E27FC236}">
              <a16:creationId xmlns:a16="http://schemas.microsoft.com/office/drawing/2014/main" id="{00000000-0008-0000-0400-000036250000}"/>
            </a:ext>
          </a:extLst>
        </xdr:cNvPr>
        <xdr:cNvSpPr>
          <a:spLocks noChangeArrowheads="1"/>
        </xdr:cNvSpPr>
      </xdr:nvSpPr>
      <xdr:spPr bwMode="auto">
        <a:xfrm>
          <a:off x="5324475" y="380809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223</xdr:row>
      <xdr:rowOff>123825</xdr:rowOff>
    </xdr:from>
    <xdr:to>
      <xdr:col>0</xdr:col>
      <xdr:colOff>619125</xdr:colOff>
      <xdr:row>224</xdr:row>
      <xdr:rowOff>28575</xdr:rowOff>
    </xdr:to>
    <xdr:sp macro="" textlink="">
      <xdr:nvSpPr>
        <xdr:cNvPr id="9527" name="Oval 311">
          <a:extLst>
            <a:ext uri="{FF2B5EF4-FFF2-40B4-BE49-F238E27FC236}">
              <a16:creationId xmlns:a16="http://schemas.microsoft.com/office/drawing/2014/main" id="{00000000-0008-0000-0400-000037250000}"/>
            </a:ext>
          </a:extLst>
        </xdr:cNvPr>
        <xdr:cNvSpPr>
          <a:spLocks noChangeArrowheads="1"/>
        </xdr:cNvSpPr>
      </xdr:nvSpPr>
      <xdr:spPr bwMode="auto">
        <a:xfrm>
          <a:off x="542925" y="390334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218</xdr:row>
      <xdr:rowOff>38100</xdr:rowOff>
    </xdr:from>
    <xdr:to>
      <xdr:col>0</xdr:col>
      <xdr:colOff>676275</xdr:colOff>
      <xdr:row>218</xdr:row>
      <xdr:rowOff>123825</xdr:rowOff>
    </xdr:to>
    <xdr:sp macro="" textlink="">
      <xdr:nvSpPr>
        <xdr:cNvPr id="9528" name="Oval 312">
          <a:extLst>
            <a:ext uri="{FF2B5EF4-FFF2-40B4-BE49-F238E27FC236}">
              <a16:creationId xmlns:a16="http://schemas.microsoft.com/office/drawing/2014/main" id="{00000000-0008-0000-0400-000038250000}"/>
            </a:ext>
          </a:extLst>
        </xdr:cNvPr>
        <xdr:cNvSpPr>
          <a:spLocks noChangeArrowheads="1"/>
        </xdr:cNvSpPr>
      </xdr:nvSpPr>
      <xdr:spPr bwMode="auto">
        <a:xfrm>
          <a:off x="600075" y="380619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218</xdr:row>
      <xdr:rowOff>57150</xdr:rowOff>
    </xdr:from>
    <xdr:to>
      <xdr:col>6</xdr:col>
      <xdr:colOff>66675</xdr:colOff>
      <xdr:row>218</xdr:row>
      <xdr:rowOff>133350</xdr:rowOff>
    </xdr:to>
    <xdr:sp macro="" textlink="">
      <xdr:nvSpPr>
        <xdr:cNvPr id="9529" name="Oval 313">
          <a:extLst>
            <a:ext uri="{FF2B5EF4-FFF2-40B4-BE49-F238E27FC236}">
              <a16:creationId xmlns:a16="http://schemas.microsoft.com/office/drawing/2014/main" id="{00000000-0008-0000-0400-000039250000}"/>
            </a:ext>
          </a:extLst>
        </xdr:cNvPr>
        <xdr:cNvSpPr>
          <a:spLocks noChangeArrowheads="1"/>
        </xdr:cNvSpPr>
      </xdr:nvSpPr>
      <xdr:spPr bwMode="auto">
        <a:xfrm>
          <a:off x="5638800" y="380809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217</xdr:row>
      <xdr:rowOff>171450</xdr:rowOff>
    </xdr:from>
    <xdr:to>
      <xdr:col>4</xdr:col>
      <xdr:colOff>400050</xdr:colOff>
      <xdr:row>219</xdr:row>
      <xdr:rowOff>0</xdr:rowOff>
    </xdr:to>
    <xdr:sp macro="" textlink="">
      <xdr:nvSpPr>
        <xdr:cNvPr id="9530" name="Rectangle 314">
          <a:extLst>
            <a:ext uri="{FF2B5EF4-FFF2-40B4-BE49-F238E27FC236}">
              <a16:creationId xmlns:a16="http://schemas.microsoft.com/office/drawing/2014/main" id="{00000000-0008-0000-0400-00003A250000}"/>
            </a:ext>
          </a:extLst>
        </xdr:cNvPr>
        <xdr:cNvSpPr>
          <a:spLocks noChangeArrowheads="1"/>
        </xdr:cNvSpPr>
      </xdr:nvSpPr>
      <xdr:spPr bwMode="auto">
        <a:xfrm>
          <a:off x="3971925" y="38023800"/>
          <a:ext cx="552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217</xdr:row>
      <xdr:rowOff>190500</xdr:rowOff>
    </xdr:from>
    <xdr:to>
      <xdr:col>3</xdr:col>
      <xdr:colOff>809625</xdr:colOff>
      <xdr:row>218</xdr:row>
      <xdr:rowOff>152400</xdr:rowOff>
    </xdr:to>
    <xdr:sp macro="" textlink="">
      <xdr:nvSpPr>
        <xdr:cNvPr id="9531" name="Rectangle 315">
          <a:extLst>
            <a:ext uri="{FF2B5EF4-FFF2-40B4-BE49-F238E27FC236}">
              <a16:creationId xmlns:a16="http://schemas.microsoft.com/office/drawing/2014/main" id="{00000000-0008-0000-0400-00003B250000}"/>
            </a:ext>
          </a:extLst>
        </xdr:cNvPr>
        <xdr:cNvSpPr>
          <a:spLocks noChangeArrowheads="1"/>
        </xdr:cNvSpPr>
      </xdr:nvSpPr>
      <xdr:spPr bwMode="auto">
        <a:xfrm>
          <a:off x="3028950" y="38023800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221</xdr:row>
      <xdr:rowOff>28575</xdr:rowOff>
    </xdr:from>
    <xdr:to>
      <xdr:col>5</xdr:col>
      <xdr:colOff>342900</xdr:colOff>
      <xdr:row>221</xdr:row>
      <xdr:rowOff>28575</xdr:rowOff>
    </xdr:to>
    <xdr:sp macro="" textlink="">
      <xdr:nvSpPr>
        <xdr:cNvPr id="9532" name="Line 316">
          <a:extLst>
            <a:ext uri="{FF2B5EF4-FFF2-40B4-BE49-F238E27FC236}">
              <a16:creationId xmlns:a16="http://schemas.microsoft.com/office/drawing/2014/main" id="{00000000-0008-0000-0400-00003C250000}"/>
            </a:ext>
          </a:extLst>
        </xdr:cNvPr>
        <xdr:cNvSpPr>
          <a:spLocks noChangeShapeType="1"/>
        </xdr:cNvSpPr>
      </xdr:nvSpPr>
      <xdr:spPr bwMode="auto">
        <a:xfrm>
          <a:off x="4752975" y="385762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221</xdr:row>
      <xdr:rowOff>133350</xdr:rowOff>
    </xdr:from>
    <xdr:to>
      <xdr:col>5</xdr:col>
      <xdr:colOff>342900</xdr:colOff>
      <xdr:row>221</xdr:row>
      <xdr:rowOff>133350</xdr:rowOff>
    </xdr:to>
    <xdr:sp macro="" textlink="">
      <xdr:nvSpPr>
        <xdr:cNvPr id="9533" name="Line 317">
          <a:extLst>
            <a:ext uri="{FF2B5EF4-FFF2-40B4-BE49-F238E27FC236}">
              <a16:creationId xmlns:a16="http://schemas.microsoft.com/office/drawing/2014/main" id="{00000000-0008-0000-0400-00003D250000}"/>
            </a:ext>
          </a:extLst>
        </xdr:cNvPr>
        <xdr:cNvSpPr>
          <a:spLocks noChangeShapeType="1"/>
        </xdr:cNvSpPr>
      </xdr:nvSpPr>
      <xdr:spPr bwMode="auto">
        <a:xfrm>
          <a:off x="4752975" y="386810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218</xdr:row>
      <xdr:rowOff>104775</xdr:rowOff>
    </xdr:from>
    <xdr:to>
      <xdr:col>5</xdr:col>
      <xdr:colOff>466725</xdr:colOff>
      <xdr:row>218</xdr:row>
      <xdr:rowOff>104775</xdr:rowOff>
    </xdr:to>
    <xdr:sp macro="" textlink="">
      <xdr:nvSpPr>
        <xdr:cNvPr id="9534" name="Line 318">
          <a:extLst>
            <a:ext uri="{FF2B5EF4-FFF2-40B4-BE49-F238E27FC236}">
              <a16:creationId xmlns:a16="http://schemas.microsoft.com/office/drawing/2014/main" id="{00000000-0008-0000-0400-00003E250000}"/>
            </a:ext>
          </a:extLst>
        </xdr:cNvPr>
        <xdr:cNvSpPr>
          <a:spLocks noChangeShapeType="1"/>
        </xdr:cNvSpPr>
      </xdr:nvSpPr>
      <xdr:spPr bwMode="auto">
        <a:xfrm>
          <a:off x="4972050" y="381285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218</xdr:row>
      <xdr:rowOff>85725</xdr:rowOff>
    </xdr:from>
    <xdr:to>
      <xdr:col>3</xdr:col>
      <xdr:colOff>285750</xdr:colOff>
      <xdr:row>218</xdr:row>
      <xdr:rowOff>85725</xdr:rowOff>
    </xdr:to>
    <xdr:sp macro="" textlink="">
      <xdr:nvSpPr>
        <xdr:cNvPr id="9535" name="Line 319">
          <a:extLst>
            <a:ext uri="{FF2B5EF4-FFF2-40B4-BE49-F238E27FC236}">
              <a16:creationId xmlns:a16="http://schemas.microsoft.com/office/drawing/2014/main" id="{00000000-0008-0000-0400-00003F250000}"/>
            </a:ext>
          </a:extLst>
        </xdr:cNvPr>
        <xdr:cNvSpPr>
          <a:spLocks noChangeShapeType="1"/>
        </xdr:cNvSpPr>
      </xdr:nvSpPr>
      <xdr:spPr bwMode="auto">
        <a:xfrm flipV="1">
          <a:off x="695325" y="38109525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218</xdr:row>
      <xdr:rowOff>76200</xdr:rowOff>
    </xdr:from>
    <xdr:to>
      <xdr:col>3</xdr:col>
      <xdr:colOff>1238250</xdr:colOff>
      <xdr:row>218</xdr:row>
      <xdr:rowOff>76200</xdr:rowOff>
    </xdr:to>
    <xdr:sp macro="" textlink="">
      <xdr:nvSpPr>
        <xdr:cNvPr id="9536" name="Line 320">
          <a:extLst>
            <a:ext uri="{FF2B5EF4-FFF2-40B4-BE49-F238E27FC236}">
              <a16:creationId xmlns:a16="http://schemas.microsoft.com/office/drawing/2014/main" id="{00000000-0008-0000-0400-000040250000}"/>
            </a:ext>
          </a:extLst>
        </xdr:cNvPr>
        <xdr:cNvSpPr>
          <a:spLocks noChangeShapeType="1"/>
        </xdr:cNvSpPr>
      </xdr:nvSpPr>
      <xdr:spPr bwMode="auto">
        <a:xfrm>
          <a:off x="3562350" y="381000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218</xdr:row>
      <xdr:rowOff>104775</xdr:rowOff>
    </xdr:from>
    <xdr:to>
      <xdr:col>5</xdr:col>
      <xdr:colOff>38100</xdr:colOff>
      <xdr:row>218</xdr:row>
      <xdr:rowOff>104775</xdr:rowOff>
    </xdr:to>
    <xdr:sp macro="" textlink="">
      <xdr:nvSpPr>
        <xdr:cNvPr id="9537" name="Line 321">
          <a:extLst>
            <a:ext uri="{FF2B5EF4-FFF2-40B4-BE49-F238E27FC236}">
              <a16:creationId xmlns:a16="http://schemas.microsoft.com/office/drawing/2014/main" id="{00000000-0008-0000-0400-000041250000}"/>
            </a:ext>
          </a:extLst>
        </xdr:cNvPr>
        <xdr:cNvSpPr>
          <a:spLocks noChangeShapeType="1"/>
        </xdr:cNvSpPr>
      </xdr:nvSpPr>
      <xdr:spPr bwMode="auto">
        <a:xfrm>
          <a:off x="4505325" y="381285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223</xdr:row>
      <xdr:rowOff>171450</xdr:rowOff>
    </xdr:from>
    <xdr:to>
      <xdr:col>5</xdr:col>
      <xdr:colOff>85725</xdr:colOff>
      <xdr:row>223</xdr:row>
      <xdr:rowOff>171450</xdr:rowOff>
    </xdr:to>
    <xdr:sp macro="" textlink="">
      <xdr:nvSpPr>
        <xdr:cNvPr id="9538" name="Line 322">
          <a:extLst>
            <a:ext uri="{FF2B5EF4-FFF2-40B4-BE49-F238E27FC236}">
              <a16:creationId xmlns:a16="http://schemas.microsoft.com/office/drawing/2014/main" id="{00000000-0008-0000-0400-000042250000}"/>
            </a:ext>
          </a:extLst>
        </xdr:cNvPr>
        <xdr:cNvSpPr>
          <a:spLocks noChangeShapeType="1"/>
        </xdr:cNvSpPr>
      </xdr:nvSpPr>
      <xdr:spPr bwMode="auto">
        <a:xfrm>
          <a:off x="638175" y="39071550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218</xdr:row>
      <xdr:rowOff>95250</xdr:rowOff>
    </xdr:from>
    <xdr:to>
      <xdr:col>5</xdr:col>
      <xdr:colOff>95250</xdr:colOff>
      <xdr:row>221</xdr:row>
      <xdr:rowOff>28575</xdr:rowOff>
    </xdr:to>
    <xdr:sp macro="" textlink="">
      <xdr:nvSpPr>
        <xdr:cNvPr id="9539" name="Line 323">
          <a:extLst>
            <a:ext uri="{FF2B5EF4-FFF2-40B4-BE49-F238E27FC236}">
              <a16:creationId xmlns:a16="http://schemas.microsoft.com/office/drawing/2014/main" id="{00000000-0008-0000-0400-000043250000}"/>
            </a:ext>
          </a:extLst>
        </xdr:cNvPr>
        <xdr:cNvSpPr>
          <a:spLocks noChangeShapeType="1"/>
        </xdr:cNvSpPr>
      </xdr:nvSpPr>
      <xdr:spPr bwMode="auto">
        <a:xfrm>
          <a:off x="4981575" y="38119050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221</xdr:row>
      <xdr:rowOff>133350</xdr:rowOff>
    </xdr:from>
    <xdr:to>
      <xdr:col>5</xdr:col>
      <xdr:colOff>104775</xdr:colOff>
      <xdr:row>223</xdr:row>
      <xdr:rowOff>171450</xdr:rowOff>
    </xdr:to>
    <xdr:sp macro="" textlink="">
      <xdr:nvSpPr>
        <xdr:cNvPr id="9540" name="Line 324">
          <a:extLst>
            <a:ext uri="{FF2B5EF4-FFF2-40B4-BE49-F238E27FC236}">
              <a16:creationId xmlns:a16="http://schemas.microsoft.com/office/drawing/2014/main" id="{00000000-0008-0000-0400-000044250000}"/>
            </a:ext>
          </a:extLst>
        </xdr:cNvPr>
        <xdr:cNvSpPr>
          <a:spLocks noChangeShapeType="1"/>
        </xdr:cNvSpPr>
      </xdr:nvSpPr>
      <xdr:spPr bwMode="auto">
        <a:xfrm flipV="1">
          <a:off x="4991100" y="38681025"/>
          <a:ext cx="0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223</xdr:row>
      <xdr:rowOff>171450</xdr:rowOff>
    </xdr:from>
    <xdr:to>
      <xdr:col>1</xdr:col>
      <xdr:colOff>619125</xdr:colOff>
      <xdr:row>223</xdr:row>
      <xdr:rowOff>171450</xdr:rowOff>
    </xdr:to>
    <xdr:sp macro="" textlink="">
      <xdr:nvSpPr>
        <xdr:cNvPr id="9541" name="Line 325">
          <a:extLst>
            <a:ext uri="{FF2B5EF4-FFF2-40B4-BE49-F238E27FC236}">
              <a16:creationId xmlns:a16="http://schemas.microsoft.com/office/drawing/2014/main" id="{00000000-0008-0000-0400-000045250000}"/>
            </a:ext>
          </a:extLst>
        </xdr:cNvPr>
        <xdr:cNvSpPr>
          <a:spLocks noChangeShapeType="1"/>
        </xdr:cNvSpPr>
      </xdr:nvSpPr>
      <xdr:spPr bwMode="auto">
        <a:xfrm flipH="1">
          <a:off x="2038350" y="390715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220</xdr:row>
      <xdr:rowOff>0</xdr:rowOff>
    </xdr:from>
    <xdr:ext cx="76200" cy="200025"/>
    <xdr:sp macro="" textlink="">
      <xdr:nvSpPr>
        <xdr:cNvPr id="9542" name="Text Box 326">
          <a:extLst>
            <a:ext uri="{FF2B5EF4-FFF2-40B4-BE49-F238E27FC236}">
              <a16:creationId xmlns:a16="http://schemas.microsoft.com/office/drawing/2014/main" id="{00000000-0008-0000-0400-000046250000}"/>
            </a:ext>
          </a:extLst>
        </xdr:cNvPr>
        <xdr:cNvSpPr txBox="1">
          <a:spLocks noChangeArrowheads="1"/>
        </xdr:cNvSpPr>
      </xdr:nvSpPr>
      <xdr:spPr bwMode="auto">
        <a:xfrm>
          <a:off x="1819275" y="3834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222</xdr:row>
      <xdr:rowOff>28575</xdr:rowOff>
    </xdr:from>
    <xdr:to>
      <xdr:col>1</xdr:col>
      <xdr:colOff>542925</xdr:colOff>
      <xdr:row>223</xdr:row>
      <xdr:rowOff>95250</xdr:rowOff>
    </xdr:to>
    <xdr:sp macro="" textlink="">
      <xdr:nvSpPr>
        <xdr:cNvPr id="9543" name="Text Box 327">
          <a:extLst>
            <a:ext uri="{FF2B5EF4-FFF2-40B4-BE49-F238E27FC236}">
              <a16:creationId xmlns:a16="http://schemas.microsoft.com/office/drawing/2014/main" id="{00000000-0008-0000-0400-000047250000}"/>
            </a:ext>
          </a:extLst>
        </xdr:cNvPr>
        <xdr:cNvSpPr txBox="1">
          <a:spLocks noChangeArrowheads="1"/>
        </xdr:cNvSpPr>
      </xdr:nvSpPr>
      <xdr:spPr bwMode="auto">
        <a:xfrm>
          <a:off x="2114550" y="3877627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218</xdr:row>
      <xdr:rowOff>95250</xdr:rowOff>
    </xdr:from>
    <xdr:to>
      <xdr:col>6</xdr:col>
      <xdr:colOff>523875</xdr:colOff>
      <xdr:row>218</xdr:row>
      <xdr:rowOff>104775</xdr:rowOff>
    </xdr:to>
    <xdr:sp macro="" textlink="">
      <xdr:nvSpPr>
        <xdr:cNvPr id="9544" name="Line 328">
          <a:extLst>
            <a:ext uri="{FF2B5EF4-FFF2-40B4-BE49-F238E27FC236}">
              <a16:creationId xmlns:a16="http://schemas.microsoft.com/office/drawing/2014/main" id="{00000000-0008-0000-0400-000048250000}"/>
            </a:ext>
          </a:extLst>
        </xdr:cNvPr>
        <xdr:cNvSpPr>
          <a:spLocks noChangeShapeType="1"/>
        </xdr:cNvSpPr>
      </xdr:nvSpPr>
      <xdr:spPr bwMode="auto">
        <a:xfrm flipV="1">
          <a:off x="5715000" y="38119050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218</xdr:row>
      <xdr:rowOff>104775</xdr:rowOff>
    </xdr:from>
    <xdr:to>
      <xdr:col>6</xdr:col>
      <xdr:colOff>514350</xdr:colOff>
      <xdr:row>223</xdr:row>
      <xdr:rowOff>161925</xdr:rowOff>
    </xdr:to>
    <xdr:sp macro="" textlink="">
      <xdr:nvSpPr>
        <xdr:cNvPr id="9545" name="Line 329">
          <a:extLst>
            <a:ext uri="{FF2B5EF4-FFF2-40B4-BE49-F238E27FC236}">
              <a16:creationId xmlns:a16="http://schemas.microsoft.com/office/drawing/2014/main" id="{00000000-0008-0000-0400-000049250000}"/>
            </a:ext>
          </a:extLst>
        </xdr:cNvPr>
        <xdr:cNvSpPr>
          <a:spLocks noChangeShapeType="1"/>
        </xdr:cNvSpPr>
      </xdr:nvSpPr>
      <xdr:spPr bwMode="auto">
        <a:xfrm>
          <a:off x="6162675" y="38128575"/>
          <a:ext cx="0" cy="9429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223</xdr:row>
      <xdr:rowOff>142875</xdr:rowOff>
    </xdr:from>
    <xdr:to>
      <xdr:col>3</xdr:col>
      <xdr:colOff>971550</xdr:colOff>
      <xdr:row>223</xdr:row>
      <xdr:rowOff>152400</xdr:rowOff>
    </xdr:to>
    <xdr:sp macro="" textlink="">
      <xdr:nvSpPr>
        <xdr:cNvPr id="9546" name="Line 330">
          <a:extLst>
            <a:ext uri="{FF2B5EF4-FFF2-40B4-BE49-F238E27FC236}">
              <a16:creationId xmlns:a16="http://schemas.microsoft.com/office/drawing/2014/main" id="{00000000-0008-0000-0400-00004A250000}"/>
            </a:ext>
          </a:extLst>
        </xdr:cNvPr>
        <xdr:cNvSpPr>
          <a:spLocks noChangeShapeType="1"/>
        </xdr:cNvSpPr>
      </xdr:nvSpPr>
      <xdr:spPr bwMode="auto">
        <a:xfrm flipV="1">
          <a:off x="3714750" y="390525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223</xdr:row>
      <xdr:rowOff>161925</xdr:rowOff>
    </xdr:from>
    <xdr:to>
      <xdr:col>6</xdr:col>
      <xdr:colOff>523875</xdr:colOff>
      <xdr:row>223</xdr:row>
      <xdr:rowOff>171450</xdr:rowOff>
    </xdr:to>
    <xdr:sp macro="" textlink="">
      <xdr:nvSpPr>
        <xdr:cNvPr id="9547" name="Line 331">
          <a:extLst>
            <a:ext uri="{FF2B5EF4-FFF2-40B4-BE49-F238E27FC236}">
              <a16:creationId xmlns:a16="http://schemas.microsoft.com/office/drawing/2014/main" id="{00000000-0008-0000-0400-00004B250000}"/>
            </a:ext>
          </a:extLst>
        </xdr:cNvPr>
        <xdr:cNvSpPr>
          <a:spLocks noChangeShapeType="1"/>
        </xdr:cNvSpPr>
      </xdr:nvSpPr>
      <xdr:spPr bwMode="auto">
        <a:xfrm flipV="1">
          <a:off x="5000625" y="39071550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220</xdr:row>
      <xdr:rowOff>161925</xdr:rowOff>
    </xdr:from>
    <xdr:to>
      <xdr:col>0</xdr:col>
      <xdr:colOff>800100</xdr:colOff>
      <xdr:row>222</xdr:row>
      <xdr:rowOff>28575</xdr:rowOff>
    </xdr:to>
    <xdr:sp macro="" textlink="">
      <xdr:nvSpPr>
        <xdr:cNvPr id="9548" name="Text Box 332">
          <a:extLst>
            <a:ext uri="{FF2B5EF4-FFF2-40B4-BE49-F238E27FC236}">
              <a16:creationId xmlns:a16="http://schemas.microsoft.com/office/drawing/2014/main" id="{00000000-0008-0000-0400-00004C250000}"/>
            </a:ext>
          </a:extLst>
        </xdr:cNvPr>
        <xdr:cNvSpPr txBox="1">
          <a:spLocks noChangeArrowheads="1"/>
        </xdr:cNvSpPr>
      </xdr:nvSpPr>
      <xdr:spPr bwMode="auto">
        <a:xfrm>
          <a:off x="514350" y="38509575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1209675</xdr:colOff>
      <xdr:row>216</xdr:row>
      <xdr:rowOff>76200</xdr:rowOff>
    </xdr:from>
    <xdr:to>
      <xdr:col>4</xdr:col>
      <xdr:colOff>390525</xdr:colOff>
      <xdr:row>217</xdr:row>
      <xdr:rowOff>85725</xdr:rowOff>
    </xdr:to>
    <xdr:sp macro="" textlink="">
      <xdr:nvSpPr>
        <xdr:cNvPr id="9549" name="Rectangle 333">
          <a:extLst>
            <a:ext uri="{FF2B5EF4-FFF2-40B4-BE49-F238E27FC236}">
              <a16:creationId xmlns:a16="http://schemas.microsoft.com/office/drawing/2014/main" id="{00000000-0008-0000-0400-00004D250000}"/>
            </a:ext>
          </a:extLst>
        </xdr:cNvPr>
        <xdr:cNvSpPr>
          <a:spLocks noChangeArrowheads="1"/>
        </xdr:cNvSpPr>
      </xdr:nvSpPr>
      <xdr:spPr bwMode="auto">
        <a:xfrm>
          <a:off x="3962400" y="37776150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216</xdr:row>
      <xdr:rowOff>123825</xdr:rowOff>
    </xdr:from>
    <xdr:to>
      <xdr:col>3</xdr:col>
      <xdr:colOff>819150</xdr:colOff>
      <xdr:row>217</xdr:row>
      <xdr:rowOff>85725</xdr:rowOff>
    </xdr:to>
    <xdr:sp macro="" textlink="">
      <xdr:nvSpPr>
        <xdr:cNvPr id="9550" name="Rectangle 334">
          <a:extLst>
            <a:ext uri="{FF2B5EF4-FFF2-40B4-BE49-F238E27FC236}">
              <a16:creationId xmlns:a16="http://schemas.microsoft.com/office/drawing/2014/main" id="{00000000-0008-0000-0400-00004E250000}"/>
            </a:ext>
          </a:extLst>
        </xdr:cNvPr>
        <xdr:cNvSpPr>
          <a:spLocks noChangeArrowheads="1"/>
        </xdr:cNvSpPr>
      </xdr:nvSpPr>
      <xdr:spPr bwMode="auto">
        <a:xfrm>
          <a:off x="3038475" y="37823775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217</xdr:row>
      <xdr:rowOff>0</xdr:rowOff>
    </xdr:from>
    <xdr:to>
      <xdr:col>3</xdr:col>
      <xdr:colOff>1257300</xdr:colOff>
      <xdr:row>217</xdr:row>
      <xdr:rowOff>0</xdr:rowOff>
    </xdr:to>
    <xdr:sp macro="" textlink="">
      <xdr:nvSpPr>
        <xdr:cNvPr id="9551" name="Line 335">
          <a:extLst>
            <a:ext uri="{FF2B5EF4-FFF2-40B4-BE49-F238E27FC236}">
              <a16:creationId xmlns:a16="http://schemas.microsoft.com/office/drawing/2014/main" id="{00000000-0008-0000-0400-00004F250000}"/>
            </a:ext>
          </a:extLst>
        </xdr:cNvPr>
        <xdr:cNvSpPr>
          <a:spLocks noChangeShapeType="1"/>
        </xdr:cNvSpPr>
      </xdr:nvSpPr>
      <xdr:spPr bwMode="auto">
        <a:xfrm>
          <a:off x="3581400" y="378618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217</xdr:row>
      <xdr:rowOff>9525</xdr:rowOff>
    </xdr:from>
    <xdr:to>
      <xdr:col>3</xdr:col>
      <xdr:colOff>276225</xdr:colOff>
      <xdr:row>217</xdr:row>
      <xdr:rowOff>9525</xdr:rowOff>
    </xdr:to>
    <xdr:sp macro="" textlink="">
      <xdr:nvSpPr>
        <xdr:cNvPr id="9552" name="Line 336">
          <a:extLst>
            <a:ext uri="{FF2B5EF4-FFF2-40B4-BE49-F238E27FC236}">
              <a16:creationId xmlns:a16="http://schemas.microsoft.com/office/drawing/2014/main" id="{00000000-0008-0000-0400-000050250000}"/>
            </a:ext>
          </a:extLst>
        </xdr:cNvPr>
        <xdr:cNvSpPr>
          <a:spLocks noChangeShapeType="1"/>
        </xdr:cNvSpPr>
      </xdr:nvSpPr>
      <xdr:spPr bwMode="auto">
        <a:xfrm>
          <a:off x="2771775" y="37871400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213</xdr:row>
      <xdr:rowOff>66675</xdr:rowOff>
    </xdr:from>
    <xdr:to>
      <xdr:col>4</xdr:col>
      <xdr:colOff>95250</xdr:colOff>
      <xdr:row>214</xdr:row>
      <xdr:rowOff>142875</xdr:rowOff>
    </xdr:to>
    <xdr:sp macro="" textlink="">
      <xdr:nvSpPr>
        <xdr:cNvPr id="9553" name="Line 337">
          <a:extLst>
            <a:ext uri="{FF2B5EF4-FFF2-40B4-BE49-F238E27FC236}">
              <a16:creationId xmlns:a16="http://schemas.microsoft.com/office/drawing/2014/main" id="{00000000-0008-0000-0400-000051250000}"/>
            </a:ext>
          </a:extLst>
        </xdr:cNvPr>
        <xdr:cNvSpPr>
          <a:spLocks noChangeShapeType="1"/>
        </xdr:cNvSpPr>
      </xdr:nvSpPr>
      <xdr:spPr bwMode="auto">
        <a:xfrm>
          <a:off x="4219575" y="37242750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213</xdr:row>
      <xdr:rowOff>66675</xdr:rowOff>
    </xdr:from>
    <xdr:to>
      <xdr:col>4</xdr:col>
      <xdr:colOff>0</xdr:colOff>
      <xdr:row>214</xdr:row>
      <xdr:rowOff>142875</xdr:rowOff>
    </xdr:to>
    <xdr:sp macro="" textlink="">
      <xdr:nvSpPr>
        <xdr:cNvPr id="9554" name="Line 338">
          <a:extLst>
            <a:ext uri="{FF2B5EF4-FFF2-40B4-BE49-F238E27FC236}">
              <a16:creationId xmlns:a16="http://schemas.microsoft.com/office/drawing/2014/main" id="{00000000-0008-0000-0400-000052250000}"/>
            </a:ext>
          </a:extLst>
        </xdr:cNvPr>
        <xdr:cNvSpPr>
          <a:spLocks noChangeShapeType="1"/>
        </xdr:cNvSpPr>
      </xdr:nvSpPr>
      <xdr:spPr bwMode="auto">
        <a:xfrm>
          <a:off x="4124325" y="37242750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213</xdr:row>
      <xdr:rowOff>190500</xdr:rowOff>
    </xdr:from>
    <xdr:to>
      <xdr:col>5</xdr:col>
      <xdr:colOff>542925</xdr:colOff>
      <xdr:row>214</xdr:row>
      <xdr:rowOff>0</xdr:rowOff>
    </xdr:to>
    <xdr:sp macro="" textlink="">
      <xdr:nvSpPr>
        <xdr:cNvPr id="9555" name="Line 339">
          <a:extLst>
            <a:ext uri="{FF2B5EF4-FFF2-40B4-BE49-F238E27FC236}">
              <a16:creationId xmlns:a16="http://schemas.microsoft.com/office/drawing/2014/main" id="{00000000-0008-0000-0400-000053250000}"/>
            </a:ext>
          </a:extLst>
        </xdr:cNvPr>
        <xdr:cNvSpPr>
          <a:spLocks noChangeShapeType="1"/>
        </xdr:cNvSpPr>
      </xdr:nvSpPr>
      <xdr:spPr bwMode="auto">
        <a:xfrm flipV="1">
          <a:off x="4248150" y="37338000"/>
          <a:ext cx="1181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214</xdr:row>
      <xdr:rowOff>0</xdr:rowOff>
    </xdr:from>
    <xdr:to>
      <xdr:col>3</xdr:col>
      <xdr:colOff>1362075</xdr:colOff>
      <xdr:row>214</xdr:row>
      <xdr:rowOff>9525</xdr:rowOff>
    </xdr:to>
    <xdr:sp macro="" textlink="">
      <xdr:nvSpPr>
        <xdr:cNvPr id="9556" name="Line 340">
          <a:extLst>
            <a:ext uri="{FF2B5EF4-FFF2-40B4-BE49-F238E27FC236}">
              <a16:creationId xmlns:a16="http://schemas.microsoft.com/office/drawing/2014/main" id="{00000000-0008-0000-0400-000054250000}"/>
            </a:ext>
          </a:extLst>
        </xdr:cNvPr>
        <xdr:cNvSpPr>
          <a:spLocks noChangeShapeType="1"/>
        </xdr:cNvSpPr>
      </xdr:nvSpPr>
      <xdr:spPr bwMode="auto">
        <a:xfrm flipV="1">
          <a:off x="2781300" y="37338000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214</xdr:row>
      <xdr:rowOff>0</xdr:rowOff>
    </xdr:from>
    <xdr:to>
      <xdr:col>5</xdr:col>
      <xdr:colOff>542925</xdr:colOff>
      <xdr:row>217</xdr:row>
      <xdr:rowOff>9525</xdr:rowOff>
    </xdr:to>
    <xdr:sp macro="" textlink="">
      <xdr:nvSpPr>
        <xdr:cNvPr id="9557" name="Line 341">
          <a:extLst>
            <a:ext uri="{FF2B5EF4-FFF2-40B4-BE49-F238E27FC236}">
              <a16:creationId xmlns:a16="http://schemas.microsoft.com/office/drawing/2014/main" id="{00000000-0008-0000-0400-000055250000}"/>
            </a:ext>
          </a:extLst>
        </xdr:cNvPr>
        <xdr:cNvSpPr>
          <a:spLocks noChangeShapeType="1"/>
        </xdr:cNvSpPr>
      </xdr:nvSpPr>
      <xdr:spPr bwMode="auto">
        <a:xfrm>
          <a:off x="5419725" y="37338000"/>
          <a:ext cx="9525" cy="533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19050</xdr:colOff>
      <xdr:row>217</xdr:row>
      <xdr:rowOff>9525</xdr:rowOff>
    </xdr:to>
    <xdr:sp macro="" textlink="">
      <xdr:nvSpPr>
        <xdr:cNvPr id="9558" name="Line 342">
          <a:extLst>
            <a:ext uri="{FF2B5EF4-FFF2-40B4-BE49-F238E27FC236}">
              <a16:creationId xmlns:a16="http://schemas.microsoft.com/office/drawing/2014/main" id="{00000000-0008-0000-0400-000056250000}"/>
            </a:ext>
          </a:extLst>
        </xdr:cNvPr>
        <xdr:cNvSpPr>
          <a:spLocks noChangeShapeType="1"/>
        </xdr:cNvSpPr>
      </xdr:nvSpPr>
      <xdr:spPr bwMode="auto">
        <a:xfrm>
          <a:off x="2771775" y="37357050"/>
          <a:ext cx="0" cy="514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217</xdr:row>
      <xdr:rowOff>0</xdr:rowOff>
    </xdr:from>
    <xdr:to>
      <xdr:col>5</xdr:col>
      <xdr:colOff>533400</xdr:colOff>
      <xdr:row>217</xdr:row>
      <xdr:rowOff>0</xdr:rowOff>
    </xdr:to>
    <xdr:sp macro="" textlink="">
      <xdr:nvSpPr>
        <xdr:cNvPr id="9559" name="Line 343">
          <a:extLst>
            <a:ext uri="{FF2B5EF4-FFF2-40B4-BE49-F238E27FC236}">
              <a16:creationId xmlns:a16="http://schemas.microsoft.com/office/drawing/2014/main" id="{00000000-0008-0000-0400-000057250000}"/>
            </a:ext>
          </a:extLst>
        </xdr:cNvPr>
        <xdr:cNvSpPr>
          <a:spLocks noChangeShapeType="1"/>
        </xdr:cNvSpPr>
      </xdr:nvSpPr>
      <xdr:spPr bwMode="auto">
        <a:xfrm flipV="1">
          <a:off x="4543425" y="37861875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217</xdr:row>
      <xdr:rowOff>133350</xdr:rowOff>
    </xdr:from>
    <xdr:to>
      <xdr:col>4</xdr:col>
      <xdr:colOff>400050</xdr:colOff>
      <xdr:row>217</xdr:row>
      <xdr:rowOff>133350</xdr:rowOff>
    </xdr:to>
    <xdr:sp macro="" textlink="">
      <xdr:nvSpPr>
        <xdr:cNvPr id="9560" name="Line 344">
          <a:extLst>
            <a:ext uri="{FF2B5EF4-FFF2-40B4-BE49-F238E27FC236}">
              <a16:creationId xmlns:a16="http://schemas.microsoft.com/office/drawing/2014/main" id="{00000000-0008-0000-0400-000058250000}"/>
            </a:ext>
          </a:extLst>
        </xdr:cNvPr>
        <xdr:cNvSpPr>
          <a:spLocks noChangeShapeType="1"/>
        </xdr:cNvSpPr>
      </xdr:nvSpPr>
      <xdr:spPr bwMode="auto">
        <a:xfrm>
          <a:off x="4000500" y="37995225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210</xdr:row>
      <xdr:rowOff>114300</xdr:rowOff>
    </xdr:from>
    <xdr:to>
      <xdr:col>3</xdr:col>
      <xdr:colOff>838200</xdr:colOff>
      <xdr:row>211</xdr:row>
      <xdr:rowOff>76200</xdr:rowOff>
    </xdr:to>
    <xdr:sp macro="" textlink="">
      <xdr:nvSpPr>
        <xdr:cNvPr id="9561" name="Rectangle 345">
          <a:extLst>
            <a:ext uri="{FF2B5EF4-FFF2-40B4-BE49-F238E27FC236}">
              <a16:creationId xmlns:a16="http://schemas.microsoft.com/office/drawing/2014/main" id="{00000000-0008-0000-0400-000059250000}"/>
            </a:ext>
          </a:extLst>
        </xdr:cNvPr>
        <xdr:cNvSpPr>
          <a:spLocks noChangeArrowheads="1"/>
        </xdr:cNvSpPr>
      </xdr:nvSpPr>
      <xdr:spPr bwMode="auto">
        <a:xfrm>
          <a:off x="3057525" y="36766500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211</xdr:row>
      <xdr:rowOff>0</xdr:rowOff>
    </xdr:from>
    <xdr:to>
      <xdr:col>3</xdr:col>
      <xdr:colOff>1285875</xdr:colOff>
      <xdr:row>211</xdr:row>
      <xdr:rowOff>0</xdr:rowOff>
    </xdr:to>
    <xdr:sp macro="" textlink="">
      <xdr:nvSpPr>
        <xdr:cNvPr id="9562" name="Line 346">
          <a:extLst>
            <a:ext uri="{FF2B5EF4-FFF2-40B4-BE49-F238E27FC236}">
              <a16:creationId xmlns:a16="http://schemas.microsoft.com/office/drawing/2014/main" id="{00000000-0008-0000-0400-00005A250000}"/>
            </a:ext>
          </a:extLst>
        </xdr:cNvPr>
        <xdr:cNvSpPr>
          <a:spLocks noChangeShapeType="1"/>
        </xdr:cNvSpPr>
      </xdr:nvSpPr>
      <xdr:spPr bwMode="auto">
        <a:xfrm>
          <a:off x="3609975" y="3681412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210</xdr:row>
      <xdr:rowOff>180975</xdr:rowOff>
    </xdr:from>
    <xdr:to>
      <xdr:col>5</xdr:col>
      <xdr:colOff>514350</xdr:colOff>
      <xdr:row>210</xdr:row>
      <xdr:rowOff>190500</xdr:rowOff>
    </xdr:to>
    <xdr:sp macro="" textlink="">
      <xdr:nvSpPr>
        <xdr:cNvPr id="9563" name="Line 347">
          <a:extLst>
            <a:ext uri="{FF2B5EF4-FFF2-40B4-BE49-F238E27FC236}">
              <a16:creationId xmlns:a16="http://schemas.microsoft.com/office/drawing/2014/main" id="{00000000-0008-0000-0400-00005B250000}"/>
            </a:ext>
          </a:extLst>
        </xdr:cNvPr>
        <xdr:cNvSpPr>
          <a:spLocks noChangeShapeType="1"/>
        </xdr:cNvSpPr>
      </xdr:nvSpPr>
      <xdr:spPr bwMode="auto">
        <a:xfrm>
          <a:off x="4648200" y="36814125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210</xdr:row>
      <xdr:rowOff>171450</xdr:rowOff>
    </xdr:from>
    <xdr:to>
      <xdr:col>5</xdr:col>
      <xdr:colOff>533400</xdr:colOff>
      <xdr:row>214</xdr:row>
      <xdr:rowOff>0</xdr:rowOff>
    </xdr:to>
    <xdr:sp macro="" textlink="">
      <xdr:nvSpPr>
        <xdr:cNvPr id="9564" name="Line 348">
          <a:extLst>
            <a:ext uri="{FF2B5EF4-FFF2-40B4-BE49-F238E27FC236}">
              <a16:creationId xmlns:a16="http://schemas.microsoft.com/office/drawing/2014/main" id="{00000000-0008-0000-0400-00005C250000}"/>
            </a:ext>
          </a:extLst>
        </xdr:cNvPr>
        <xdr:cNvSpPr>
          <a:spLocks noChangeShapeType="1"/>
        </xdr:cNvSpPr>
      </xdr:nvSpPr>
      <xdr:spPr bwMode="auto">
        <a:xfrm>
          <a:off x="5410200" y="36814125"/>
          <a:ext cx="9525" cy="523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210</xdr:row>
      <xdr:rowOff>190500</xdr:rowOff>
    </xdr:from>
    <xdr:to>
      <xdr:col>3</xdr:col>
      <xdr:colOff>9525</xdr:colOff>
      <xdr:row>214</xdr:row>
      <xdr:rowOff>19050</xdr:rowOff>
    </xdr:to>
    <xdr:sp macro="" textlink="">
      <xdr:nvSpPr>
        <xdr:cNvPr id="9565" name="Line 349">
          <a:extLst>
            <a:ext uri="{FF2B5EF4-FFF2-40B4-BE49-F238E27FC236}">
              <a16:creationId xmlns:a16="http://schemas.microsoft.com/office/drawing/2014/main" id="{00000000-0008-0000-0400-00005D250000}"/>
            </a:ext>
          </a:extLst>
        </xdr:cNvPr>
        <xdr:cNvSpPr>
          <a:spLocks noChangeShapeType="1"/>
        </xdr:cNvSpPr>
      </xdr:nvSpPr>
      <xdr:spPr bwMode="auto">
        <a:xfrm>
          <a:off x="2752725" y="36814125"/>
          <a:ext cx="9525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210</xdr:row>
      <xdr:rowOff>190500</xdr:rowOff>
    </xdr:from>
    <xdr:to>
      <xdr:col>3</xdr:col>
      <xdr:colOff>295275</xdr:colOff>
      <xdr:row>211</xdr:row>
      <xdr:rowOff>0</xdr:rowOff>
    </xdr:to>
    <xdr:sp macro="" textlink="">
      <xdr:nvSpPr>
        <xdr:cNvPr id="9566" name="Line 350">
          <a:extLst>
            <a:ext uri="{FF2B5EF4-FFF2-40B4-BE49-F238E27FC236}">
              <a16:creationId xmlns:a16="http://schemas.microsoft.com/office/drawing/2014/main" id="{00000000-0008-0000-0400-00005E250000}"/>
            </a:ext>
          </a:extLst>
        </xdr:cNvPr>
        <xdr:cNvSpPr>
          <a:spLocks noChangeShapeType="1"/>
        </xdr:cNvSpPr>
      </xdr:nvSpPr>
      <xdr:spPr bwMode="auto">
        <a:xfrm flipV="1">
          <a:off x="2743200" y="36814125"/>
          <a:ext cx="304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210</xdr:row>
      <xdr:rowOff>66675</xdr:rowOff>
    </xdr:from>
    <xdr:to>
      <xdr:col>4</xdr:col>
      <xdr:colOff>219075</xdr:colOff>
      <xdr:row>210</xdr:row>
      <xdr:rowOff>171450</xdr:rowOff>
    </xdr:to>
    <xdr:sp macro="" textlink="">
      <xdr:nvSpPr>
        <xdr:cNvPr id="9567" name="Line 351">
          <a:extLst>
            <a:ext uri="{FF2B5EF4-FFF2-40B4-BE49-F238E27FC236}">
              <a16:creationId xmlns:a16="http://schemas.microsoft.com/office/drawing/2014/main" id="{00000000-0008-0000-0400-00005F250000}"/>
            </a:ext>
          </a:extLst>
        </xdr:cNvPr>
        <xdr:cNvSpPr>
          <a:spLocks noChangeShapeType="1"/>
        </xdr:cNvSpPr>
      </xdr:nvSpPr>
      <xdr:spPr bwMode="auto">
        <a:xfrm flipV="1">
          <a:off x="4152900" y="36718875"/>
          <a:ext cx="190500" cy="9525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210</xdr:row>
      <xdr:rowOff>161925</xdr:rowOff>
    </xdr:from>
    <xdr:to>
      <xdr:col>4</xdr:col>
      <xdr:colOff>447675</xdr:colOff>
      <xdr:row>211</xdr:row>
      <xdr:rowOff>123825</xdr:rowOff>
    </xdr:to>
    <xdr:sp macro="" textlink="">
      <xdr:nvSpPr>
        <xdr:cNvPr id="9568" name="Line 352">
          <a:extLst>
            <a:ext uri="{FF2B5EF4-FFF2-40B4-BE49-F238E27FC236}">
              <a16:creationId xmlns:a16="http://schemas.microsoft.com/office/drawing/2014/main" id="{00000000-0008-0000-0400-000060250000}"/>
            </a:ext>
          </a:extLst>
        </xdr:cNvPr>
        <xdr:cNvSpPr>
          <a:spLocks noChangeShapeType="1"/>
        </xdr:cNvSpPr>
      </xdr:nvSpPr>
      <xdr:spPr bwMode="auto">
        <a:xfrm flipV="1">
          <a:off x="4324350" y="36814125"/>
          <a:ext cx="247650" cy="1238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210</xdr:row>
      <xdr:rowOff>66675</xdr:rowOff>
    </xdr:from>
    <xdr:to>
      <xdr:col>4</xdr:col>
      <xdr:colOff>200025</xdr:colOff>
      <xdr:row>211</xdr:row>
      <xdr:rowOff>142875</xdr:rowOff>
    </xdr:to>
    <xdr:sp macro="" textlink="">
      <xdr:nvSpPr>
        <xdr:cNvPr id="9569" name="Line 353">
          <a:extLst>
            <a:ext uri="{FF2B5EF4-FFF2-40B4-BE49-F238E27FC236}">
              <a16:creationId xmlns:a16="http://schemas.microsoft.com/office/drawing/2014/main" id="{00000000-0008-0000-0400-00006125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36718875"/>
          <a:ext cx="0" cy="2381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217</xdr:row>
      <xdr:rowOff>9525</xdr:rowOff>
    </xdr:from>
    <xdr:to>
      <xdr:col>6</xdr:col>
      <xdr:colOff>28575</xdr:colOff>
      <xdr:row>218</xdr:row>
      <xdr:rowOff>76200</xdr:rowOff>
    </xdr:to>
    <xdr:sp macro="" textlink="">
      <xdr:nvSpPr>
        <xdr:cNvPr id="9570" name="Line 354">
          <a:extLst>
            <a:ext uri="{FF2B5EF4-FFF2-40B4-BE49-F238E27FC236}">
              <a16:creationId xmlns:a16="http://schemas.microsoft.com/office/drawing/2014/main" id="{00000000-0008-0000-0400-000062250000}"/>
            </a:ext>
          </a:extLst>
        </xdr:cNvPr>
        <xdr:cNvSpPr>
          <a:spLocks noChangeShapeType="1"/>
        </xdr:cNvSpPr>
      </xdr:nvSpPr>
      <xdr:spPr bwMode="auto">
        <a:xfrm flipV="1">
          <a:off x="5410200" y="37871400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217</xdr:row>
      <xdr:rowOff>95250</xdr:rowOff>
    </xdr:from>
    <xdr:to>
      <xdr:col>5</xdr:col>
      <xdr:colOff>704850</xdr:colOff>
      <xdr:row>219</xdr:row>
      <xdr:rowOff>0</xdr:rowOff>
    </xdr:to>
    <xdr:sp macro="" textlink="">
      <xdr:nvSpPr>
        <xdr:cNvPr id="9571" name="Freeform 355">
          <a:extLst>
            <a:ext uri="{FF2B5EF4-FFF2-40B4-BE49-F238E27FC236}">
              <a16:creationId xmlns:a16="http://schemas.microsoft.com/office/drawing/2014/main" id="{00000000-0008-0000-0400-000063250000}"/>
            </a:ext>
          </a:extLst>
        </xdr:cNvPr>
        <xdr:cNvSpPr>
          <a:spLocks/>
        </xdr:cNvSpPr>
      </xdr:nvSpPr>
      <xdr:spPr bwMode="auto">
        <a:xfrm>
          <a:off x="5381625" y="37957125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352425</xdr:colOff>
      <xdr:row>217</xdr:row>
      <xdr:rowOff>85725</xdr:rowOff>
    </xdr:from>
    <xdr:to>
      <xdr:col>5</xdr:col>
      <xdr:colOff>495300</xdr:colOff>
      <xdr:row>217</xdr:row>
      <xdr:rowOff>95250</xdr:rowOff>
    </xdr:to>
    <xdr:sp macro="" textlink="">
      <xdr:nvSpPr>
        <xdr:cNvPr id="9572" name="Line 356">
          <a:extLst>
            <a:ext uri="{FF2B5EF4-FFF2-40B4-BE49-F238E27FC236}">
              <a16:creationId xmlns:a16="http://schemas.microsoft.com/office/drawing/2014/main" id="{00000000-0008-0000-0400-000064250000}"/>
            </a:ext>
          </a:extLst>
        </xdr:cNvPr>
        <xdr:cNvSpPr>
          <a:spLocks noChangeShapeType="1"/>
        </xdr:cNvSpPr>
      </xdr:nvSpPr>
      <xdr:spPr bwMode="auto">
        <a:xfrm flipH="1" flipV="1">
          <a:off x="5238750" y="37947600"/>
          <a:ext cx="142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225</xdr:row>
      <xdr:rowOff>19050</xdr:rowOff>
    </xdr:from>
    <xdr:to>
      <xdr:col>6</xdr:col>
      <xdr:colOff>542925</xdr:colOff>
      <xdr:row>254</xdr:row>
      <xdr:rowOff>66675</xdr:rowOff>
    </xdr:to>
    <xdr:graphicFrame macro="">
      <xdr:nvGraphicFramePr>
        <xdr:cNvPr id="9685" name="Diagramm 469">
          <a:extLst>
            <a:ext uri="{FF2B5EF4-FFF2-40B4-BE49-F238E27FC236}">
              <a16:creationId xmlns:a16="http://schemas.microsoft.com/office/drawing/2014/main" id="{00000000-0008-0000-0400-0000D5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0.35776</cdr:x>
      <cdr:y>0.46103</cdr:y>
    </cdr:from>
    <cdr:to>
      <cdr:x>0.50495</cdr:x>
      <cdr:y>0.51201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3878" y="2242741"/>
          <a:ext cx="133325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10 x UL till interrupt !</a:t>
          </a:r>
          <a:endParaRPr lang="de-CH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8433" name="Oval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8434" name="Oval 2">
          <a:extLst>
            <a:ext uri="{FF2B5EF4-FFF2-40B4-BE49-F238E27FC236}">
              <a16:creationId xmlns:a16="http://schemas.microsoft.com/office/drawing/2014/main" id="{00000000-0008-0000-0700-00000248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0</xdr:colOff>
      <xdr:row>3</xdr:row>
      <xdr:rowOff>152400</xdr:rowOff>
    </xdr:to>
    <xdr:sp macro="" textlink="">
      <xdr:nvSpPr>
        <xdr:cNvPr id="18435" name="Oval 3">
          <a:extLst>
            <a:ext uri="{FF2B5EF4-FFF2-40B4-BE49-F238E27FC236}">
              <a16:creationId xmlns:a16="http://schemas.microsoft.com/office/drawing/2014/main" id="{00000000-0008-0000-0700-00000348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0</xdr:colOff>
      <xdr:row>3</xdr:row>
      <xdr:rowOff>152400</xdr:rowOff>
    </xdr:to>
    <xdr:sp macro="" textlink="">
      <xdr:nvSpPr>
        <xdr:cNvPr id="18436" name="Oval 4">
          <a:extLst>
            <a:ext uri="{FF2B5EF4-FFF2-40B4-BE49-F238E27FC236}">
              <a16:creationId xmlns:a16="http://schemas.microsoft.com/office/drawing/2014/main" id="{00000000-0008-0000-0700-00000448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0</xdr:colOff>
      <xdr:row>3</xdr:row>
      <xdr:rowOff>9525</xdr:rowOff>
    </xdr:to>
    <xdr:sp macro="" textlink="">
      <xdr:nvSpPr>
        <xdr:cNvPr id="18437" name="Oval 5">
          <a:extLst>
            <a:ext uri="{FF2B5EF4-FFF2-40B4-BE49-F238E27FC236}">
              <a16:creationId xmlns:a16="http://schemas.microsoft.com/office/drawing/2014/main" id="{00000000-0008-0000-0700-00000548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438" name="Oval 6">
          <a:extLst>
            <a:ext uri="{FF2B5EF4-FFF2-40B4-BE49-F238E27FC236}">
              <a16:creationId xmlns:a16="http://schemas.microsoft.com/office/drawing/2014/main" id="{00000000-0008-0000-0700-0000064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439" name="Oval 7">
          <a:extLst>
            <a:ext uri="{FF2B5EF4-FFF2-40B4-BE49-F238E27FC236}">
              <a16:creationId xmlns:a16="http://schemas.microsoft.com/office/drawing/2014/main" id="{00000000-0008-0000-0700-0000074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440" name="Oval 8">
          <a:extLst>
            <a:ext uri="{FF2B5EF4-FFF2-40B4-BE49-F238E27FC236}">
              <a16:creationId xmlns:a16="http://schemas.microsoft.com/office/drawing/2014/main" id="{00000000-0008-0000-0700-0000084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8441" name="Oval 9">
          <a:extLst>
            <a:ext uri="{FF2B5EF4-FFF2-40B4-BE49-F238E27FC236}">
              <a16:creationId xmlns:a16="http://schemas.microsoft.com/office/drawing/2014/main" id="{00000000-0008-0000-0700-0000094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442" name="Oval 10">
          <a:extLst>
            <a:ext uri="{FF2B5EF4-FFF2-40B4-BE49-F238E27FC236}">
              <a16:creationId xmlns:a16="http://schemas.microsoft.com/office/drawing/2014/main" id="{00000000-0008-0000-0700-00000A4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443" name="Oval 11">
          <a:extLst>
            <a:ext uri="{FF2B5EF4-FFF2-40B4-BE49-F238E27FC236}">
              <a16:creationId xmlns:a16="http://schemas.microsoft.com/office/drawing/2014/main" id="{00000000-0008-0000-0700-00000B4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</xdr:row>
      <xdr:rowOff>152400</xdr:rowOff>
    </xdr:from>
    <xdr:to>
      <xdr:col>0</xdr:col>
      <xdr:colOff>0</xdr:colOff>
      <xdr:row>2</xdr:row>
      <xdr:rowOff>152400</xdr:rowOff>
    </xdr:to>
    <xdr:sp macro="" textlink="">
      <xdr:nvSpPr>
        <xdr:cNvPr id="18444" name="Oval 12">
          <a:extLst>
            <a:ext uri="{FF2B5EF4-FFF2-40B4-BE49-F238E27FC236}">
              <a16:creationId xmlns:a16="http://schemas.microsoft.com/office/drawing/2014/main" id="{00000000-0008-0000-0700-00000C480000}"/>
            </a:ext>
          </a:extLst>
        </xdr:cNvPr>
        <xdr:cNvSpPr>
          <a:spLocks noChangeArrowheads="1"/>
        </xdr:cNvSpPr>
      </xdr:nvSpPr>
      <xdr:spPr bwMode="auto">
        <a:xfrm>
          <a:off x="0" y="48577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8445" name="Oval 13">
          <a:extLst>
            <a:ext uri="{FF2B5EF4-FFF2-40B4-BE49-F238E27FC236}">
              <a16:creationId xmlns:a16="http://schemas.microsoft.com/office/drawing/2014/main" id="{00000000-0008-0000-0700-00000D4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8446" name="Oval 14">
          <a:extLst>
            <a:ext uri="{FF2B5EF4-FFF2-40B4-BE49-F238E27FC236}">
              <a16:creationId xmlns:a16="http://schemas.microsoft.com/office/drawing/2014/main" id="{00000000-0008-0000-0700-00000E4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18447" name="Oval 15">
          <a:extLst>
            <a:ext uri="{FF2B5EF4-FFF2-40B4-BE49-F238E27FC236}">
              <a16:creationId xmlns:a16="http://schemas.microsoft.com/office/drawing/2014/main" id="{00000000-0008-0000-0700-00000F4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7</xdr:col>
      <xdr:colOff>171450</xdr:colOff>
      <xdr:row>4</xdr:row>
      <xdr:rowOff>0</xdr:rowOff>
    </xdr:to>
    <xdr:sp macro="" textlink="">
      <xdr:nvSpPr>
        <xdr:cNvPr id="18448" name="Oval 16">
          <a:extLst>
            <a:ext uri="{FF2B5EF4-FFF2-40B4-BE49-F238E27FC236}">
              <a16:creationId xmlns:a16="http://schemas.microsoft.com/office/drawing/2014/main" id="{00000000-0008-0000-0700-000010480000}"/>
            </a:ext>
          </a:extLst>
        </xdr:cNvPr>
        <xdr:cNvSpPr>
          <a:spLocks noChangeArrowheads="1"/>
        </xdr:cNvSpPr>
      </xdr:nvSpPr>
      <xdr:spPr bwMode="auto">
        <a:xfrm>
          <a:off x="6238875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3</xdr:row>
      <xdr:rowOff>0</xdr:rowOff>
    </xdr:from>
    <xdr:to>
      <xdr:col>7</xdr:col>
      <xdr:colOff>333375</xdr:colOff>
      <xdr:row>4</xdr:row>
      <xdr:rowOff>0</xdr:rowOff>
    </xdr:to>
    <xdr:sp macro="" textlink="">
      <xdr:nvSpPr>
        <xdr:cNvPr id="18449" name="Oval 17">
          <a:extLst>
            <a:ext uri="{FF2B5EF4-FFF2-40B4-BE49-F238E27FC236}">
              <a16:creationId xmlns:a16="http://schemas.microsoft.com/office/drawing/2014/main" id="{00000000-0008-0000-0700-000011480000}"/>
            </a:ext>
          </a:extLst>
        </xdr:cNvPr>
        <xdr:cNvSpPr>
          <a:spLocks noChangeArrowheads="1"/>
        </xdr:cNvSpPr>
      </xdr:nvSpPr>
      <xdr:spPr bwMode="auto">
        <a:xfrm>
          <a:off x="6400800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2</xdr:row>
      <xdr:rowOff>152400</xdr:rowOff>
    </xdr:from>
    <xdr:to>
      <xdr:col>7</xdr:col>
      <xdr:colOff>495300</xdr:colOff>
      <xdr:row>3</xdr:row>
      <xdr:rowOff>152400</xdr:rowOff>
    </xdr:to>
    <xdr:sp macro="" textlink="">
      <xdr:nvSpPr>
        <xdr:cNvPr id="18450" name="Oval 18">
          <a:extLst>
            <a:ext uri="{FF2B5EF4-FFF2-40B4-BE49-F238E27FC236}">
              <a16:creationId xmlns:a16="http://schemas.microsoft.com/office/drawing/2014/main" id="{00000000-0008-0000-0700-000012480000}"/>
            </a:ext>
          </a:extLst>
        </xdr:cNvPr>
        <xdr:cNvSpPr>
          <a:spLocks noChangeArrowheads="1"/>
        </xdr:cNvSpPr>
      </xdr:nvSpPr>
      <xdr:spPr bwMode="auto">
        <a:xfrm>
          <a:off x="6562725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504825</xdr:colOff>
      <xdr:row>2</xdr:row>
      <xdr:rowOff>152400</xdr:rowOff>
    </xdr:from>
    <xdr:to>
      <xdr:col>7</xdr:col>
      <xdr:colOff>657225</xdr:colOff>
      <xdr:row>3</xdr:row>
      <xdr:rowOff>152400</xdr:rowOff>
    </xdr:to>
    <xdr:sp macro="" textlink="">
      <xdr:nvSpPr>
        <xdr:cNvPr id="18451" name="Oval 19">
          <a:extLst>
            <a:ext uri="{FF2B5EF4-FFF2-40B4-BE49-F238E27FC236}">
              <a16:creationId xmlns:a16="http://schemas.microsoft.com/office/drawing/2014/main" id="{00000000-0008-0000-0700-000013480000}"/>
            </a:ext>
          </a:extLst>
        </xdr:cNvPr>
        <xdr:cNvSpPr>
          <a:spLocks noChangeArrowheads="1"/>
        </xdr:cNvSpPr>
      </xdr:nvSpPr>
      <xdr:spPr bwMode="auto">
        <a:xfrm>
          <a:off x="6724650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2</xdr:row>
      <xdr:rowOff>9525</xdr:rowOff>
    </xdr:from>
    <xdr:to>
      <xdr:col>7</xdr:col>
      <xdr:colOff>247650</xdr:colOff>
      <xdr:row>3</xdr:row>
      <xdr:rowOff>9525</xdr:rowOff>
    </xdr:to>
    <xdr:sp macro="" textlink="">
      <xdr:nvSpPr>
        <xdr:cNvPr id="18452" name="Oval 20">
          <a:extLst>
            <a:ext uri="{FF2B5EF4-FFF2-40B4-BE49-F238E27FC236}">
              <a16:creationId xmlns:a16="http://schemas.microsoft.com/office/drawing/2014/main" id="{00000000-0008-0000-0700-000014480000}"/>
            </a:ext>
          </a:extLst>
        </xdr:cNvPr>
        <xdr:cNvSpPr>
          <a:spLocks noChangeArrowheads="1"/>
        </xdr:cNvSpPr>
      </xdr:nvSpPr>
      <xdr:spPr bwMode="auto">
        <a:xfrm>
          <a:off x="6315075" y="5048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2</xdr:row>
      <xdr:rowOff>0</xdr:rowOff>
    </xdr:from>
    <xdr:to>
      <xdr:col>7</xdr:col>
      <xdr:colOff>409575</xdr:colOff>
      <xdr:row>3</xdr:row>
      <xdr:rowOff>0</xdr:rowOff>
    </xdr:to>
    <xdr:sp macro="" textlink="">
      <xdr:nvSpPr>
        <xdr:cNvPr id="18453" name="Oval 21">
          <a:extLst>
            <a:ext uri="{FF2B5EF4-FFF2-40B4-BE49-F238E27FC236}">
              <a16:creationId xmlns:a16="http://schemas.microsoft.com/office/drawing/2014/main" id="{00000000-0008-0000-0700-000015480000}"/>
            </a:ext>
          </a:extLst>
        </xdr:cNvPr>
        <xdr:cNvSpPr>
          <a:spLocks noChangeArrowheads="1"/>
        </xdr:cNvSpPr>
      </xdr:nvSpPr>
      <xdr:spPr bwMode="auto">
        <a:xfrm>
          <a:off x="64770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2</xdr:row>
      <xdr:rowOff>0</xdr:rowOff>
    </xdr:from>
    <xdr:to>
      <xdr:col>7</xdr:col>
      <xdr:colOff>571500</xdr:colOff>
      <xdr:row>3</xdr:row>
      <xdr:rowOff>0</xdr:rowOff>
    </xdr:to>
    <xdr:sp macro="" textlink="">
      <xdr:nvSpPr>
        <xdr:cNvPr id="18454" name="Oval 22">
          <a:extLst>
            <a:ext uri="{FF2B5EF4-FFF2-40B4-BE49-F238E27FC236}">
              <a16:creationId xmlns:a16="http://schemas.microsoft.com/office/drawing/2014/main" id="{00000000-0008-0000-0700-000016480000}"/>
            </a:ext>
          </a:extLst>
        </xdr:cNvPr>
        <xdr:cNvSpPr>
          <a:spLocks noChangeArrowheads="1"/>
        </xdr:cNvSpPr>
      </xdr:nvSpPr>
      <xdr:spPr bwMode="auto">
        <a:xfrm>
          <a:off x="6638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</xdr:row>
      <xdr:rowOff>0</xdr:rowOff>
    </xdr:from>
    <xdr:to>
      <xdr:col>8</xdr:col>
      <xdr:colOff>190500</xdr:colOff>
      <xdr:row>3</xdr:row>
      <xdr:rowOff>0</xdr:rowOff>
    </xdr:to>
    <xdr:sp macro="" textlink="">
      <xdr:nvSpPr>
        <xdr:cNvPr id="18455" name="Oval 23">
          <a:extLst>
            <a:ext uri="{FF2B5EF4-FFF2-40B4-BE49-F238E27FC236}">
              <a16:creationId xmlns:a16="http://schemas.microsoft.com/office/drawing/2014/main" id="{00000000-0008-0000-0700-000017480000}"/>
            </a:ext>
          </a:extLst>
        </xdr:cNvPr>
        <xdr:cNvSpPr>
          <a:spLocks noChangeArrowheads="1"/>
        </xdr:cNvSpPr>
      </xdr:nvSpPr>
      <xdr:spPr bwMode="auto">
        <a:xfrm>
          <a:off x="7019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542925</xdr:colOff>
      <xdr:row>3</xdr:row>
      <xdr:rowOff>9525</xdr:rowOff>
    </xdr:from>
    <xdr:to>
      <xdr:col>8</xdr:col>
      <xdr:colOff>695325</xdr:colOff>
      <xdr:row>4</xdr:row>
      <xdr:rowOff>9525</xdr:rowOff>
    </xdr:to>
    <xdr:sp macro="" textlink="">
      <xdr:nvSpPr>
        <xdr:cNvPr id="18456" name="Oval 24">
          <a:extLst>
            <a:ext uri="{FF2B5EF4-FFF2-40B4-BE49-F238E27FC236}">
              <a16:creationId xmlns:a16="http://schemas.microsoft.com/office/drawing/2014/main" id="{00000000-0008-0000-0700-000018480000}"/>
            </a:ext>
          </a:extLst>
        </xdr:cNvPr>
        <xdr:cNvSpPr>
          <a:spLocks noChangeArrowheads="1"/>
        </xdr:cNvSpPr>
      </xdr:nvSpPr>
      <xdr:spPr bwMode="auto">
        <a:xfrm>
          <a:off x="75247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8</xdr:col>
      <xdr:colOff>209550</xdr:colOff>
      <xdr:row>2</xdr:row>
      <xdr:rowOff>0</xdr:rowOff>
    </xdr:from>
    <xdr:to>
      <xdr:col>8</xdr:col>
      <xdr:colOff>361950</xdr:colOff>
      <xdr:row>3</xdr:row>
      <xdr:rowOff>0</xdr:rowOff>
    </xdr:to>
    <xdr:sp macro="" textlink="">
      <xdr:nvSpPr>
        <xdr:cNvPr id="18457" name="Oval 25">
          <a:extLst>
            <a:ext uri="{FF2B5EF4-FFF2-40B4-BE49-F238E27FC236}">
              <a16:creationId xmlns:a16="http://schemas.microsoft.com/office/drawing/2014/main" id="{00000000-0008-0000-0700-000019480000}"/>
            </a:ext>
          </a:extLst>
        </xdr:cNvPr>
        <xdr:cNvSpPr>
          <a:spLocks noChangeArrowheads="1"/>
        </xdr:cNvSpPr>
      </xdr:nvSpPr>
      <xdr:spPr bwMode="auto">
        <a:xfrm>
          <a:off x="719137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523875</xdr:colOff>
      <xdr:row>3</xdr:row>
      <xdr:rowOff>0</xdr:rowOff>
    </xdr:to>
    <xdr:sp macro="" textlink="">
      <xdr:nvSpPr>
        <xdr:cNvPr id="18458" name="Oval 26">
          <a:extLst>
            <a:ext uri="{FF2B5EF4-FFF2-40B4-BE49-F238E27FC236}">
              <a16:creationId xmlns:a16="http://schemas.microsoft.com/office/drawing/2014/main" id="{00000000-0008-0000-0700-00001A480000}"/>
            </a:ext>
          </a:extLst>
        </xdr:cNvPr>
        <xdr:cNvSpPr>
          <a:spLocks noChangeArrowheads="1"/>
        </xdr:cNvSpPr>
      </xdr:nvSpPr>
      <xdr:spPr bwMode="auto">
        <a:xfrm>
          <a:off x="73533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1</xdr:row>
      <xdr:rowOff>152400</xdr:rowOff>
    </xdr:from>
    <xdr:to>
      <xdr:col>8</xdr:col>
      <xdr:colOff>685800</xdr:colOff>
      <xdr:row>2</xdr:row>
      <xdr:rowOff>152400</xdr:rowOff>
    </xdr:to>
    <xdr:sp macro="" textlink="">
      <xdr:nvSpPr>
        <xdr:cNvPr id="18459" name="Oval 27">
          <a:extLst>
            <a:ext uri="{FF2B5EF4-FFF2-40B4-BE49-F238E27FC236}">
              <a16:creationId xmlns:a16="http://schemas.microsoft.com/office/drawing/2014/main" id="{00000000-0008-0000-0700-00001B480000}"/>
            </a:ext>
          </a:extLst>
        </xdr:cNvPr>
        <xdr:cNvSpPr>
          <a:spLocks noChangeArrowheads="1"/>
        </xdr:cNvSpPr>
      </xdr:nvSpPr>
      <xdr:spPr bwMode="auto">
        <a:xfrm>
          <a:off x="7515225" y="4857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3</xdr:row>
      <xdr:rowOff>9525</xdr:rowOff>
    </xdr:from>
    <xdr:to>
      <xdr:col>8</xdr:col>
      <xdr:colOff>200025</xdr:colOff>
      <xdr:row>4</xdr:row>
      <xdr:rowOff>9525</xdr:rowOff>
    </xdr:to>
    <xdr:sp macro="" textlink="">
      <xdr:nvSpPr>
        <xdr:cNvPr id="18460" name="Oval 28">
          <a:extLst>
            <a:ext uri="{FF2B5EF4-FFF2-40B4-BE49-F238E27FC236}">
              <a16:creationId xmlns:a16="http://schemas.microsoft.com/office/drawing/2014/main" id="{00000000-0008-0000-0700-00001C480000}"/>
            </a:ext>
          </a:extLst>
        </xdr:cNvPr>
        <xdr:cNvSpPr>
          <a:spLocks noChangeArrowheads="1"/>
        </xdr:cNvSpPr>
      </xdr:nvSpPr>
      <xdr:spPr bwMode="auto">
        <a:xfrm>
          <a:off x="70294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219075</xdr:colOff>
      <xdr:row>3</xdr:row>
      <xdr:rowOff>9525</xdr:rowOff>
    </xdr:from>
    <xdr:to>
      <xdr:col>8</xdr:col>
      <xdr:colOff>371475</xdr:colOff>
      <xdr:row>4</xdr:row>
      <xdr:rowOff>9525</xdr:rowOff>
    </xdr:to>
    <xdr:sp macro="" textlink="">
      <xdr:nvSpPr>
        <xdr:cNvPr id="18461" name="Oval 29">
          <a:extLst>
            <a:ext uri="{FF2B5EF4-FFF2-40B4-BE49-F238E27FC236}">
              <a16:creationId xmlns:a16="http://schemas.microsoft.com/office/drawing/2014/main" id="{00000000-0008-0000-0700-00001D480000}"/>
            </a:ext>
          </a:extLst>
        </xdr:cNvPr>
        <xdr:cNvSpPr>
          <a:spLocks noChangeArrowheads="1"/>
        </xdr:cNvSpPr>
      </xdr:nvSpPr>
      <xdr:spPr bwMode="auto">
        <a:xfrm>
          <a:off x="720090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3</xdr:row>
      <xdr:rowOff>9525</xdr:rowOff>
    </xdr:from>
    <xdr:to>
      <xdr:col>8</xdr:col>
      <xdr:colOff>542925</xdr:colOff>
      <xdr:row>4</xdr:row>
      <xdr:rowOff>9525</xdr:rowOff>
    </xdr:to>
    <xdr:sp macro="" textlink="">
      <xdr:nvSpPr>
        <xdr:cNvPr id="18462" name="Oval 30">
          <a:extLst>
            <a:ext uri="{FF2B5EF4-FFF2-40B4-BE49-F238E27FC236}">
              <a16:creationId xmlns:a16="http://schemas.microsoft.com/office/drawing/2014/main" id="{00000000-0008-0000-0700-00001E480000}"/>
            </a:ext>
          </a:extLst>
        </xdr:cNvPr>
        <xdr:cNvSpPr>
          <a:spLocks noChangeArrowheads="1"/>
        </xdr:cNvSpPr>
      </xdr:nvSpPr>
      <xdr:spPr bwMode="auto">
        <a:xfrm>
          <a:off x="73723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7</xdr:col>
      <xdr:colOff>171450</xdr:colOff>
      <xdr:row>4</xdr:row>
      <xdr:rowOff>0</xdr:rowOff>
    </xdr:to>
    <xdr:sp macro="" textlink="">
      <xdr:nvSpPr>
        <xdr:cNvPr id="18505" name="Oval 73">
          <a:extLst>
            <a:ext uri="{FF2B5EF4-FFF2-40B4-BE49-F238E27FC236}">
              <a16:creationId xmlns:a16="http://schemas.microsoft.com/office/drawing/2014/main" id="{00000000-0008-0000-0700-000049480000}"/>
            </a:ext>
          </a:extLst>
        </xdr:cNvPr>
        <xdr:cNvSpPr>
          <a:spLocks noChangeArrowheads="1"/>
        </xdr:cNvSpPr>
      </xdr:nvSpPr>
      <xdr:spPr bwMode="auto">
        <a:xfrm>
          <a:off x="6238875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3</xdr:row>
      <xdr:rowOff>0</xdr:rowOff>
    </xdr:from>
    <xdr:to>
      <xdr:col>7</xdr:col>
      <xdr:colOff>333375</xdr:colOff>
      <xdr:row>4</xdr:row>
      <xdr:rowOff>0</xdr:rowOff>
    </xdr:to>
    <xdr:sp macro="" textlink="">
      <xdr:nvSpPr>
        <xdr:cNvPr id="18506" name="Oval 74">
          <a:extLst>
            <a:ext uri="{FF2B5EF4-FFF2-40B4-BE49-F238E27FC236}">
              <a16:creationId xmlns:a16="http://schemas.microsoft.com/office/drawing/2014/main" id="{00000000-0008-0000-0700-00004A480000}"/>
            </a:ext>
          </a:extLst>
        </xdr:cNvPr>
        <xdr:cNvSpPr>
          <a:spLocks noChangeArrowheads="1"/>
        </xdr:cNvSpPr>
      </xdr:nvSpPr>
      <xdr:spPr bwMode="auto">
        <a:xfrm>
          <a:off x="6400800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2</xdr:row>
      <xdr:rowOff>152400</xdr:rowOff>
    </xdr:from>
    <xdr:to>
      <xdr:col>7</xdr:col>
      <xdr:colOff>495300</xdr:colOff>
      <xdr:row>3</xdr:row>
      <xdr:rowOff>152400</xdr:rowOff>
    </xdr:to>
    <xdr:sp macro="" textlink="">
      <xdr:nvSpPr>
        <xdr:cNvPr id="18507" name="Oval 75">
          <a:extLst>
            <a:ext uri="{FF2B5EF4-FFF2-40B4-BE49-F238E27FC236}">
              <a16:creationId xmlns:a16="http://schemas.microsoft.com/office/drawing/2014/main" id="{00000000-0008-0000-0700-00004B480000}"/>
            </a:ext>
          </a:extLst>
        </xdr:cNvPr>
        <xdr:cNvSpPr>
          <a:spLocks noChangeArrowheads="1"/>
        </xdr:cNvSpPr>
      </xdr:nvSpPr>
      <xdr:spPr bwMode="auto">
        <a:xfrm>
          <a:off x="6562725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504825</xdr:colOff>
      <xdr:row>2</xdr:row>
      <xdr:rowOff>152400</xdr:rowOff>
    </xdr:from>
    <xdr:to>
      <xdr:col>7</xdr:col>
      <xdr:colOff>657225</xdr:colOff>
      <xdr:row>3</xdr:row>
      <xdr:rowOff>152400</xdr:rowOff>
    </xdr:to>
    <xdr:sp macro="" textlink="">
      <xdr:nvSpPr>
        <xdr:cNvPr id="18508" name="Oval 76">
          <a:extLst>
            <a:ext uri="{FF2B5EF4-FFF2-40B4-BE49-F238E27FC236}">
              <a16:creationId xmlns:a16="http://schemas.microsoft.com/office/drawing/2014/main" id="{00000000-0008-0000-0700-00004C480000}"/>
            </a:ext>
          </a:extLst>
        </xdr:cNvPr>
        <xdr:cNvSpPr>
          <a:spLocks noChangeArrowheads="1"/>
        </xdr:cNvSpPr>
      </xdr:nvSpPr>
      <xdr:spPr bwMode="auto">
        <a:xfrm>
          <a:off x="6724650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2</xdr:row>
      <xdr:rowOff>9525</xdr:rowOff>
    </xdr:from>
    <xdr:to>
      <xdr:col>7</xdr:col>
      <xdr:colOff>247650</xdr:colOff>
      <xdr:row>3</xdr:row>
      <xdr:rowOff>9525</xdr:rowOff>
    </xdr:to>
    <xdr:sp macro="" textlink="">
      <xdr:nvSpPr>
        <xdr:cNvPr id="18509" name="Oval 77">
          <a:extLst>
            <a:ext uri="{FF2B5EF4-FFF2-40B4-BE49-F238E27FC236}">
              <a16:creationId xmlns:a16="http://schemas.microsoft.com/office/drawing/2014/main" id="{00000000-0008-0000-0700-00004D480000}"/>
            </a:ext>
          </a:extLst>
        </xdr:cNvPr>
        <xdr:cNvSpPr>
          <a:spLocks noChangeArrowheads="1"/>
        </xdr:cNvSpPr>
      </xdr:nvSpPr>
      <xdr:spPr bwMode="auto">
        <a:xfrm>
          <a:off x="6315075" y="5048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2</xdr:row>
      <xdr:rowOff>0</xdr:rowOff>
    </xdr:from>
    <xdr:to>
      <xdr:col>7</xdr:col>
      <xdr:colOff>409575</xdr:colOff>
      <xdr:row>3</xdr:row>
      <xdr:rowOff>0</xdr:rowOff>
    </xdr:to>
    <xdr:sp macro="" textlink="">
      <xdr:nvSpPr>
        <xdr:cNvPr id="18510" name="Oval 78">
          <a:extLst>
            <a:ext uri="{FF2B5EF4-FFF2-40B4-BE49-F238E27FC236}">
              <a16:creationId xmlns:a16="http://schemas.microsoft.com/office/drawing/2014/main" id="{00000000-0008-0000-0700-00004E480000}"/>
            </a:ext>
          </a:extLst>
        </xdr:cNvPr>
        <xdr:cNvSpPr>
          <a:spLocks noChangeArrowheads="1"/>
        </xdr:cNvSpPr>
      </xdr:nvSpPr>
      <xdr:spPr bwMode="auto">
        <a:xfrm>
          <a:off x="64770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2</xdr:row>
      <xdr:rowOff>0</xdr:rowOff>
    </xdr:from>
    <xdr:to>
      <xdr:col>7</xdr:col>
      <xdr:colOff>571500</xdr:colOff>
      <xdr:row>3</xdr:row>
      <xdr:rowOff>0</xdr:rowOff>
    </xdr:to>
    <xdr:sp macro="" textlink="">
      <xdr:nvSpPr>
        <xdr:cNvPr id="18511" name="Oval 79">
          <a:extLst>
            <a:ext uri="{FF2B5EF4-FFF2-40B4-BE49-F238E27FC236}">
              <a16:creationId xmlns:a16="http://schemas.microsoft.com/office/drawing/2014/main" id="{00000000-0008-0000-0700-00004F480000}"/>
            </a:ext>
          </a:extLst>
        </xdr:cNvPr>
        <xdr:cNvSpPr>
          <a:spLocks noChangeArrowheads="1"/>
        </xdr:cNvSpPr>
      </xdr:nvSpPr>
      <xdr:spPr bwMode="auto">
        <a:xfrm>
          <a:off x="6638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</xdr:row>
      <xdr:rowOff>0</xdr:rowOff>
    </xdr:from>
    <xdr:to>
      <xdr:col>8</xdr:col>
      <xdr:colOff>190500</xdr:colOff>
      <xdr:row>3</xdr:row>
      <xdr:rowOff>0</xdr:rowOff>
    </xdr:to>
    <xdr:sp macro="" textlink="">
      <xdr:nvSpPr>
        <xdr:cNvPr id="18512" name="Oval 80">
          <a:extLst>
            <a:ext uri="{FF2B5EF4-FFF2-40B4-BE49-F238E27FC236}">
              <a16:creationId xmlns:a16="http://schemas.microsoft.com/office/drawing/2014/main" id="{00000000-0008-0000-0700-000050480000}"/>
            </a:ext>
          </a:extLst>
        </xdr:cNvPr>
        <xdr:cNvSpPr>
          <a:spLocks noChangeArrowheads="1"/>
        </xdr:cNvSpPr>
      </xdr:nvSpPr>
      <xdr:spPr bwMode="auto">
        <a:xfrm>
          <a:off x="7019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542925</xdr:colOff>
      <xdr:row>3</xdr:row>
      <xdr:rowOff>9525</xdr:rowOff>
    </xdr:from>
    <xdr:to>
      <xdr:col>8</xdr:col>
      <xdr:colOff>695325</xdr:colOff>
      <xdr:row>4</xdr:row>
      <xdr:rowOff>9525</xdr:rowOff>
    </xdr:to>
    <xdr:sp macro="" textlink="">
      <xdr:nvSpPr>
        <xdr:cNvPr id="18513" name="Oval 81">
          <a:extLst>
            <a:ext uri="{FF2B5EF4-FFF2-40B4-BE49-F238E27FC236}">
              <a16:creationId xmlns:a16="http://schemas.microsoft.com/office/drawing/2014/main" id="{00000000-0008-0000-0700-000051480000}"/>
            </a:ext>
          </a:extLst>
        </xdr:cNvPr>
        <xdr:cNvSpPr>
          <a:spLocks noChangeArrowheads="1"/>
        </xdr:cNvSpPr>
      </xdr:nvSpPr>
      <xdr:spPr bwMode="auto">
        <a:xfrm>
          <a:off x="75247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8</xdr:col>
      <xdr:colOff>209550</xdr:colOff>
      <xdr:row>2</xdr:row>
      <xdr:rowOff>0</xdr:rowOff>
    </xdr:from>
    <xdr:to>
      <xdr:col>8</xdr:col>
      <xdr:colOff>361950</xdr:colOff>
      <xdr:row>3</xdr:row>
      <xdr:rowOff>0</xdr:rowOff>
    </xdr:to>
    <xdr:sp macro="" textlink="">
      <xdr:nvSpPr>
        <xdr:cNvPr id="18514" name="Oval 82">
          <a:extLst>
            <a:ext uri="{FF2B5EF4-FFF2-40B4-BE49-F238E27FC236}">
              <a16:creationId xmlns:a16="http://schemas.microsoft.com/office/drawing/2014/main" id="{00000000-0008-0000-0700-000052480000}"/>
            </a:ext>
          </a:extLst>
        </xdr:cNvPr>
        <xdr:cNvSpPr>
          <a:spLocks noChangeArrowheads="1"/>
        </xdr:cNvSpPr>
      </xdr:nvSpPr>
      <xdr:spPr bwMode="auto">
        <a:xfrm>
          <a:off x="719137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523875</xdr:colOff>
      <xdr:row>3</xdr:row>
      <xdr:rowOff>0</xdr:rowOff>
    </xdr:to>
    <xdr:sp macro="" textlink="">
      <xdr:nvSpPr>
        <xdr:cNvPr id="18515" name="Oval 83">
          <a:extLst>
            <a:ext uri="{FF2B5EF4-FFF2-40B4-BE49-F238E27FC236}">
              <a16:creationId xmlns:a16="http://schemas.microsoft.com/office/drawing/2014/main" id="{00000000-0008-0000-0700-000053480000}"/>
            </a:ext>
          </a:extLst>
        </xdr:cNvPr>
        <xdr:cNvSpPr>
          <a:spLocks noChangeArrowheads="1"/>
        </xdr:cNvSpPr>
      </xdr:nvSpPr>
      <xdr:spPr bwMode="auto">
        <a:xfrm>
          <a:off x="73533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1</xdr:row>
      <xdr:rowOff>152400</xdr:rowOff>
    </xdr:from>
    <xdr:to>
      <xdr:col>8</xdr:col>
      <xdr:colOff>685800</xdr:colOff>
      <xdr:row>2</xdr:row>
      <xdr:rowOff>152400</xdr:rowOff>
    </xdr:to>
    <xdr:sp macro="" textlink="">
      <xdr:nvSpPr>
        <xdr:cNvPr id="18516" name="Oval 84">
          <a:extLst>
            <a:ext uri="{FF2B5EF4-FFF2-40B4-BE49-F238E27FC236}">
              <a16:creationId xmlns:a16="http://schemas.microsoft.com/office/drawing/2014/main" id="{00000000-0008-0000-0700-000054480000}"/>
            </a:ext>
          </a:extLst>
        </xdr:cNvPr>
        <xdr:cNvSpPr>
          <a:spLocks noChangeArrowheads="1"/>
        </xdr:cNvSpPr>
      </xdr:nvSpPr>
      <xdr:spPr bwMode="auto">
        <a:xfrm>
          <a:off x="7515225" y="4857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3</xdr:row>
      <xdr:rowOff>9525</xdr:rowOff>
    </xdr:from>
    <xdr:to>
      <xdr:col>8</xdr:col>
      <xdr:colOff>200025</xdr:colOff>
      <xdr:row>4</xdr:row>
      <xdr:rowOff>9525</xdr:rowOff>
    </xdr:to>
    <xdr:sp macro="" textlink="">
      <xdr:nvSpPr>
        <xdr:cNvPr id="18517" name="Oval 85">
          <a:extLst>
            <a:ext uri="{FF2B5EF4-FFF2-40B4-BE49-F238E27FC236}">
              <a16:creationId xmlns:a16="http://schemas.microsoft.com/office/drawing/2014/main" id="{00000000-0008-0000-0700-000055480000}"/>
            </a:ext>
          </a:extLst>
        </xdr:cNvPr>
        <xdr:cNvSpPr>
          <a:spLocks noChangeArrowheads="1"/>
        </xdr:cNvSpPr>
      </xdr:nvSpPr>
      <xdr:spPr bwMode="auto">
        <a:xfrm>
          <a:off x="70294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219075</xdr:colOff>
      <xdr:row>3</xdr:row>
      <xdr:rowOff>9525</xdr:rowOff>
    </xdr:from>
    <xdr:to>
      <xdr:col>8</xdr:col>
      <xdr:colOff>371475</xdr:colOff>
      <xdr:row>4</xdr:row>
      <xdr:rowOff>9525</xdr:rowOff>
    </xdr:to>
    <xdr:sp macro="" textlink="">
      <xdr:nvSpPr>
        <xdr:cNvPr id="18518" name="Oval 86">
          <a:extLst>
            <a:ext uri="{FF2B5EF4-FFF2-40B4-BE49-F238E27FC236}">
              <a16:creationId xmlns:a16="http://schemas.microsoft.com/office/drawing/2014/main" id="{00000000-0008-0000-0700-000056480000}"/>
            </a:ext>
          </a:extLst>
        </xdr:cNvPr>
        <xdr:cNvSpPr>
          <a:spLocks noChangeArrowheads="1"/>
        </xdr:cNvSpPr>
      </xdr:nvSpPr>
      <xdr:spPr bwMode="auto">
        <a:xfrm>
          <a:off x="720090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3</xdr:row>
      <xdr:rowOff>9525</xdr:rowOff>
    </xdr:from>
    <xdr:to>
      <xdr:col>8</xdr:col>
      <xdr:colOff>542925</xdr:colOff>
      <xdr:row>4</xdr:row>
      <xdr:rowOff>9525</xdr:rowOff>
    </xdr:to>
    <xdr:sp macro="" textlink="">
      <xdr:nvSpPr>
        <xdr:cNvPr id="18519" name="Oval 87">
          <a:extLst>
            <a:ext uri="{FF2B5EF4-FFF2-40B4-BE49-F238E27FC236}">
              <a16:creationId xmlns:a16="http://schemas.microsoft.com/office/drawing/2014/main" id="{00000000-0008-0000-0700-000057480000}"/>
            </a:ext>
          </a:extLst>
        </xdr:cNvPr>
        <xdr:cNvSpPr>
          <a:spLocks noChangeArrowheads="1"/>
        </xdr:cNvSpPr>
      </xdr:nvSpPr>
      <xdr:spPr bwMode="auto">
        <a:xfrm>
          <a:off x="73723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1</xdr:row>
      <xdr:rowOff>9525</xdr:rowOff>
    </xdr:from>
    <xdr:to>
      <xdr:col>7</xdr:col>
      <xdr:colOff>171450</xdr:colOff>
      <xdr:row>2</xdr:row>
      <xdr:rowOff>9525</xdr:rowOff>
    </xdr:to>
    <xdr:sp macro="" textlink="">
      <xdr:nvSpPr>
        <xdr:cNvPr id="18520" name="Oval 88">
          <a:extLst>
            <a:ext uri="{FF2B5EF4-FFF2-40B4-BE49-F238E27FC236}">
              <a16:creationId xmlns:a16="http://schemas.microsoft.com/office/drawing/2014/main" id="{00000000-0008-0000-0700-000058480000}"/>
            </a:ext>
          </a:extLst>
        </xdr:cNvPr>
        <xdr:cNvSpPr>
          <a:spLocks noChangeArrowheads="1"/>
        </xdr:cNvSpPr>
      </xdr:nvSpPr>
      <xdr:spPr bwMode="auto">
        <a:xfrm>
          <a:off x="6238875" y="3429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1</xdr:row>
      <xdr:rowOff>9525</xdr:rowOff>
    </xdr:from>
    <xdr:to>
      <xdr:col>7</xdr:col>
      <xdr:colOff>333375</xdr:colOff>
      <xdr:row>2</xdr:row>
      <xdr:rowOff>9525</xdr:rowOff>
    </xdr:to>
    <xdr:sp macro="" textlink="">
      <xdr:nvSpPr>
        <xdr:cNvPr id="18521" name="Oval 89">
          <a:extLst>
            <a:ext uri="{FF2B5EF4-FFF2-40B4-BE49-F238E27FC236}">
              <a16:creationId xmlns:a16="http://schemas.microsoft.com/office/drawing/2014/main" id="{00000000-0008-0000-0700-000059480000}"/>
            </a:ext>
          </a:extLst>
        </xdr:cNvPr>
        <xdr:cNvSpPr>
          <a:spLocks noChangeArrowheads="1"/>
        </xdr:cNvSpPr>
      </xdr:nvSpPr>
      <xdr:spPr bwMode="auto">
        <a:xfrm>
          <a:off x="6400800" y="3429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</xdr:row>
      <xdr:rowOff>0</xdr:rowOff>
    </xdr:from>
    <xdr:to>
      <xdr:col>8</xdr:col>
      <xdr:colOff>190500</xdr:colOff>
      <xdr:row>2</xdr:row>
      <xdr:rowOff>0</xdr:rowOff>
    </xdr:to>
    <xdr:sp macro="" textlink="">
      <xdr:nvSpPr>
        <xdr:cNvPr id="18522" name="Oval 90">
          <a:extLst>
            <a:ext uri="{FF2B5EF4-FFF2-40B4-BE49-F238E27FC236}">
              <a16:creationId xmlns:a16="http://schemas.microsoft.com/office/drawing/2014/main" id="{00000000-0008-0000-0700-00005A480000}"/>
            </a:ext>
          </a:extLst>
        </xdr:cNvPr>
        <xdr:cNvSpPr>
          <a:spLocks noChangeArrowheads="1"/>
        </xdr:cNvSpPr>
      </xdr:nvSpPr>
      <xdr:spPr bwMode="auto">
        <a:xfrm>
          <a:off x="70199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209550</xdr:colOff>
      <xdr:row>1</xdr:row>
      <xdr:rowOff>0</xdr:rowOff>
    </xdr:from>
    <xdr:to>
      <xdr:col>8</xdr:col>
      <xdr:colOff>361950</xdr:colOff>
      <xdr:row>2</xdr:row>
      <xdr:rowOff>0</xdr:rowOff>
    </xdr:to>
    <xdr:sp macro="" textlink="">
      <xdr:nvSpPr>
        <xdr:cNvPr id="18523" name="Oval 91">
          <a:extLst>
            <a:ext uri="{FF2B5EF4-FFF2-40B4-BE49-F238E27FC236}">
              <a16:creationId xmlns:a16="http://schemas.microsoft.com/office/drawing/2014/main" id="{00000000-0008-0000-0700-00005B480000}"/>
            </a:ext>
          </a:extLst>
        </xdr:cNvPr>
        <xdr:cNvSpPr>
          <a:spLocks noChangeArrowheads="1"/>
        </xdr:cNvSpPr>
      </xdr:nvSpPr>
      <xdr:spPr bwMode="auto">
        <a:xfrm>
          <a:off x="719137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1</xdr:row>
      <xdr:rowOff>0</xdr:rowOff>
    </xdr:from>
    <xdr:to>
      <xdr:col>8</xdr:col>
      <xdr:colOff>523875</xdr:colOff>
      <xdr:row>2</xdr:row>
      <xdr:rowOff>0</xdr:rowOff>
    </xdr:to>
    <xdr:sp macro="" textlink="">
      <xdr:nvSpPr>
        <xdr:cNvPr id="18524" name="Oval 92">
          <a:extLst>
            <a:ext uri="{FF2B5EF4-FFF2-40B4-BE49-F238E27FC236}">
              <a16:creationId xmlns:a16="http://schemas.microsoft.com/office/drawing/2014/main" id="{00000000-0008-0000-0700-00005C480000}"/>
            </a:ext>
          </a:extLst>
        </xdr:cNvPr>
        <xdr:cNvSpPr>
          <a:spLocks noChangeArrowheads="1"/>
        </xdr:cNvSpPr>
      </xdr:nvSpPr>
      <xdr:spPr bwMode="auto">
        <a:xfrm>
          <a:off x="7353300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0</xdr:row>
      <xdr:rowOff>323850</xdr:rowOff>
    </xdr:from>
    <xdr:to>
      <xdr:col>8</xdr:col>
      <xdr:colOff>685800</xdr:colOff>
      <xdr:row>1</xdr:row>
      <xdr:rowOff>152400</xdr:rowOff>
    </xdr:to>
    <xdr:sp macro="" textlink="">
      <xdr:nvSpPr>
        <xdr:cNvPr id="18525" name="Oval 93">
          <a:extLst>
            <a:ext uri="{FF2B5EF4-FFF2-40B4-BE49-F238E27FC236}">
              <a16:creationId xmlns:a16="http://schemas.microsoft.com/office/drawing/2014/main" id="{00000000-0008-0000-0700-00005D480000}"/>
            </a:ext>
          </a:extLst>
        </xdr:cNvPr>
        <xdr:cNvSpPr>
          <a:spLocks noChangeArrowheads="1"/>
        </xdr:cNvSpPr>
      </xdr:nvSpPr>
      <xdr:spPr bwMode="auto">
        <a:xfrm>
          <a:off x="7515225" y="3238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495300</xdr:colOff>
      <xdr:row>1</xdr:row>
      <xdr:rowOff>0</xdr:rowOff>
    </xdr:from>
    <xdr:to>
      <xdr:col>7</xdr:col>
      <xdr:colOff>647700</xdr:colOff>
      <xdr:row>2</xdr:row>
      <xdr:rowOff>0</xdr:rowOff>
    </xdr:to>
    <xdr:sp macro="" textlink="">
      <xdr:nvSpPr>
        <xdr:cNvPr id="18526" name="Oval 94">
          <a:extLst>
            <a:ext uri="{FF2B5EF4-FFF2-40B4-BE49-F238E27FC236}">
              <a16:creationId xmlns:a16="http://schemas.microsoft.com/office/drawing/2014/main" id="{00000000-0008-0000-0700-00005E480000}"/>
            </a:ext>
          </a:extLst>
        </xdr:cNvPr>
        <xdr:cNvSpPr>
          <a:spLocks noChangeArrowheads="1"/>
        </xdr:cNvSpPr>
      </xdr:nvSpPr>
      <xdr:spPr bwMode="auto">
        <a:xfrm>
          <a:off x="67151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1</xdr:row>
      <xdr:rowOff>0</xdr:rowOff>
    </xdr:from>
    <xdr:to>
      <xdr:col>7</xdr:col>
      <xdr:colOff>495300</xdr:colOff>
      <xdr:row>2</xdr:row>
      <xdr:rowOff>0</xdr:rowOff>
    </xdr:to>
    <xdr:sp macro="" textlink="">
      <xdr:nvSpPr>
        <xdr:cNvPr id="18527" name="Oval 95">
          <a:extLst>
            <a:ext uri="{FF2B5EF4-FFF2-40B4-BE49-F238E27FC236}">
              <a16:creationId xmlns:a16="http://schemas.microsoft.com/office/drawing/2014/main" id="{00000000-0008-0000-0700-00005F480000}"/>
            </a:ext>
          </a:extLst>
        </xdr:cNvPr>
        <xdr:cNvSpPr>
          <a:spLocks noChangeArrowheads="1"/>
        </xdr:cNvSpPr>
      </xdr:nvSpPr>
      <xdr:spPr bwMode="auto">
        <a:xfrm>
          <a:off x="65627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78</xdr:row>
      <xdr:rowOff>47625</xdr:rowOff>
    </xdr:from>
    <xdr:to>
      <xdr:col>4</xdr:col>
      <xdr:colOff>66675</xdr:colOff>
      <xdr:row>78</xdr:row>
      <xdr:rowOff>123825</xdr:rowOff>
    </xdr:to>
    <xdr:sp macro="" textlink="">
      <xdr:nvSpPr>
        <xdr:cNvPr id="19457" name="Oval 1">
          <a:extLst>
            <a:ext uri="{FF2B5EF4-FFF2-40B4-BE49-F238E27FC236}">
              <a16:creationId xmlns:a16="http://schemas.microsoft.com/office/drawing/2014/main" id="{00000000-0008-0000-0800-0000014C0000}"/>
            </a:ext>
          </a:extLst>
        </xdr:cNvPr>
        <xdr:cNvSpPr>
          <a:spLocks noChangeArrowheads="1"/>
        </xdr:cNvSpPr>
      </xdr:nvSpPr>
      <xdr:spPr bwMode="auto">
        <a:xfrm>
          <a:off x="4095750" y="146113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82</xdr:row>
      <xdr:rowOff>104775</xdr:rowOff>
    </xdr:from>
    <xdr:to>
      <xdr:col>0</xdr:col>
      <xdr:colOff>647700</xdr:colOff>
      <xdr:row>83</xdr:row>
      <xdr:rowOff>19050</xdr:rowOff>
    </xdr:to>
    <xdr:sp macro="" textlink="">
      <xdr:nvSpPr>
        <xdr:cNvPr id="19458" name="Oval 2">
          <a:extLst>
            <a:ext uri="{FF2B5EF4-FFF2-40B4-BE49-F238E27FC236}">
              <a16:creationId xmlns:a16="http://schemas.microsoft.com/office/drawing/2014/main" id="{00000000-0008-0000-0800-0000024C0000}"/>
            </a:ext>
          </a:extLst>
        </xdr:cNvPr>
        <xdr:cNvSpPr>
          <a:spLocks noChangeArrowheads="1"/>
        </xdr:cNvSpPr>
      </xdr:nvSpPr>
      <xdr:spPr bwMode="auto">
        <a:xfrm>
          <a:off x="571500" y="153352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78</xdr:row>
      <xdr:rowOff>38100</xdr:rowOff>
    </xdr:from>
    <xdr:to>
      <xdr:col>0</xdr:col>
      <xdr:colOff>676275</xdr:colOff>
      <xdr:row>78</xdr:row>
      <xdr:rowOff>123825</xdr:rowOff>
    </xdr:to>
    <xdr:sp macro="" textlink="">
      <xdr:nvSpPr>
        <xdr:cNvPr id="19459" name="Oval 3">
          <a:extLst>
            <a:ext uri="{FF2B5EF4-FFF2-40B4-BE49-F238E27FC236}">
              <a16:creationId xmlns:a16="http://schemas.microsoft.com/office/drawing/2014/main" id="{00000000-0008-0000-0800-0000034C0000}"/>
            </a:ext>
          </a:extLst>
        </xdr:cNvPr>
        <xdr:cNvSpPr>
          <a:spLocks noChangeArrowheads="1"/>
        </xdr:cNvSpPr>
      </xdr:nvSpPr>
      <xdr:spPr bwMode="auto">
        <a:xfrm>
          <a:off x="600075" y="1460182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78</xdr:row>
      <xdr:rowOff>47625</xdr:rowOff>
    </xdr:from>
    <xdr:to>
      <xdr:col>4</xdr:col>
      <xdr:colOff>352425</xdr:colOff>
      <xdr:row>78</xdr:row>
      <xdr:rowOff>123825</xdr:rowOff>
    </xdr:to>
    <xdr:sp macro="" textlink="">
      <xdr:nvSpPr>
        <xdr:cNvPr id="19460" name="Oval 4">
          <a:extLst>
            <a:ext uri="{FF2B5EF4-FFF2-40B4-BE49-F238E27FC236}">
              <a16:creationId xmlns:a16="http://schemas.microsoft.com/office/drawing/2014/main" id="{00000000-0008-0000-0800-0000044C0000}"/>
            </a:ext>
          </a:extLst>
        </xdr:cNvPr>
        <xdr:cNvSpPr>
          <a:spLocks noChangeArrowheads="1"/>
        </xdr:cNvSpPr>
      </xdr:nvSpPr>
      <xdr:spPr bwMode="auto">
        <a:xfrm>
          <a:off x="4400550" y="146113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77</xdr:row>
      <xdr:rowOff>152400</xdr:rowOff>
    </xdr:from>
    <xdr:to>
      <xdr:col>1</xdr:col>
      <xdr:colOff>561975</xdr:colOff>
      <xdr:row>78</xdr:row>
      <xdr:rowOff>161925</xdr:rowOff>
    </xdr:to>
    <xdr:sp macro="" textlink="">
      <xdr:nvSpPr>
        <xdr:cNvPr id="19461" name="Rectangle 5">
          <a:extLst>
            <a:ext uri="{FF2B5EF4-FFF2-40B4-BE49-F238E27FC236}">
              <a16:creationId xmlns:a16="http://schemas.microsoft.com/office/drawing/2014/main" id="{00000000-0008-0000-0800-0000054C0000}"/>
            </a:ext>
          </a:extLst>
        </xdr:cNvPr>
        <xdr:cNvSpPr>
          <a:spLocks noChangeArrowheads="1"/>
        </xdr:cNvSpPr>
      </xdr:nvSpPr>
      <xdr:spPr bwMode="auto">
        <a:xfrm>
          <a:off x="1695450" y="14516100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533400</xdr:colOff>
      <xdr:row>78</xdr:row>
      <xdr:rowOff>171450</xdr:rowOff>
    </xdr:to>
    <xdr:sp macro="" textlink="">
      <xdr:nvSpPr>
        <xdr:cNvPr id="19462" name="Rectangle 6">
          <a:extLst>
            <a:ext uri="{FF2B5EF4-FFF2-40B4-BE49-F238E27FC236}">
              <a16:creationId xmlns:a16="http://schemas.microsoft.com/office/drawing/2014/main" id="{00000000-0008-0000-0800-0000064C0000}"/>
            </a:ext>
          </a:extLst>
        </xdr:cNvPr>
        <xdr:cNvSpPr>
          <a:spLocks noChangeArrowheads="1"/>
        </xdr:cNvSpPr>
      </xdr:nvSpPr>
      <xdr:spPr bwMode="auto">
        <a:xfrm>
          <a:off x="2752725" y="14563725"/>
          <a:ext cx="533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762000</xdr:colOff>
      <xdr:row>80</xdr:row>
      <xdr:rowOff>19050</xdr:rowOff>
    </xdr:from>
    <xdr:to>
      <xdr:col>3</xdr:col>
      <xdr:colOff>1238250</xdr:colOff>
      <xdr:row>80</xdr:row>
      <xdr:rowOff>19050</xdr:rowOff>
    </xdr:to>
    <xdr:sp macro="" textlink="">
      <xdr:nvSpPr>
        <xdr:cNvPr id="19463" name="Line 7">
          <a:extLst>
            <a:ext uri="{FF2B5EF4-FFF2-40B4-BE49-F238E27FC236}">
              <a16:creationId xmlns:a16="http://schemas.microsoft.com/office/drawing/2014/main" id="{00000000-0008-0000-0800-0000074C0000}"/>
            </a:ext>
          </a:extLst>
        </xdr:cNvPr>
        <xdr:cNvSpPr>
          <a:spLocks noChangeShapeType="1"/>
        </xdr:cNvSpPr>
      </xdr:nvSpPr>
      <xdr:spPr bwMode="auto">
        <a:xfrm>
          <a:off x="3514725" y="1492567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80</xdr:row>
      <xdr:rowOff>152400</xdr:rowOff>
    </xdr:from>
    <xdr:to>
      <xdr:col>3</xdr:col>
      <xdr:colOff>1238250</xdr:colOff>
      <xdr:row>80</xdr:row>
      <xdr:rowOff>152400</xdr:rowOff>
    </xdr:to>
    <xdr:sp macro="" textlink="">
      <xdr:nvSpPr>
        <xdr:cNvPr id="19464" name="Line 8">
          <a:extLst>
            <a:ext uri="{FF2B5EF4-FFF2-40B4-BE49-F238E27FC236}">
              <a16:creationId xmlns:a16="http://schemas.microsoft.com/office/drawing/2014/main" id="{00000000-0008-0000-0800-0000084C0000}"/>
            </a:ext>
          </a:extLst>
        </xdr:cNvPr>
        <xdr:cNvSpPr>
          <a:spLocks noChangeShapeType="1"/>
        </xdr:cNvSpPr>
      </xdr:nvSpPr>
      <xdr:spPr bwMode="auto">
        <a:xfrm>
          <a:off x="3514725" y="150590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77</xdr:row>
      <xdr:rowOff>38100</xdr:rowOff>
    </xdr:from>
    <xdr:to>
      <xdr:col>4</xdr:col>
      <xdr:colOff>323850</xdr:colOff>
      <xdr:row>78</xdr:row>
      <xdr:rowOff>66675</xdr:rowOff>
    </xdr:to>
    <xdr:sp macro="" textlink="">
      <xdr:nvSpPr>
        <xdr:cNvPr id="19465" name="Line 9">
          <a:extLst>
            <a:ext uri="{FF2B5EF4-FFF2-40B4-BE49-F238E27FC236}">
              <a16:creationId xmlns:a16="http://schemas.microsoft.com/office/drawing/2014/main" id="{00000000-0008-0000-0800-0000094C0000}"/>
            </a:ext>
          </a:extLst>
        </xdr:cNvPr>
        <xdr:cNvSpPr>
          <a:spLocks noChangeShapeType="1"/>
        </xdr:cNvSpPr>
      </xdr:nvSpPr>
      <xdr:spPr bwMode="auto">
        <a:xfrm flipV="1">
          <a:off x="4181475" y="14401800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78</xdr:row>
      <xdr:rowOff>85725</xdr:rowOff>
    </xdr:from>
    <xdr:to>
      <xdr:col>3</xdr:col>
      <xdr:colOff>1333500</xdr:colOff>
      <xdr:row>78</xdr:row>
      <xdr:rowOff>85725</xdr:rowOff>
    </xdr:to>
    <xdr:sp macro="" textlink="">
      <xdr:nvSpPr>
        <xdr:cNvPr id="19466" name="Line 10">
          <a:extLst>
            <a:ext uri="{FF2B5EF4-FFF2-40B4-BE49-F238E27FC236}">
              <a16:creationId xmlns:a16="http://schemas.microsoft.com/office/drawing/2014/main" id="{00000000-0008-0000-0800-00000A4C0000}"/>
            </a:ext>
          </a:extLst>
        </xdr:cNvPr>
        <xdr:cNvSpPr>
          <a:spLocks noChangeShapeType="1"/>
        </xdr:cNvSpPr>
      </xdr:nvSpPr>
      <xdr:spPr bwMode="auto">
        <a:xfrm>
          <a:off x="3705225" y="14649450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78</xdr:row>
      <xdr:rowOff>85725</xdr:rowOff>
    </xdr:from>
    <xdr:to>
      <xdr:col>1</xdr:col>
      <xdr:colOff>57150</xdr:colOff>
      <xdr:row>78</xdr:row>
      <xdr:rowOff>85725</xdr:rowOff>
    </xdr:to>
    <xdr:sp macro="" textlink="">
      <xdr:nvSpPr>
        <xdr:cNvPr id="19467" name="Line 11">
          <a:extLst>
            <a:ext uri="{FF2B5EF4-FFF2-40B4-BE49-F238E27FC236}">
              <a16:creationId xmlns:a16="http://schemas.microsoft.com/office/drawing/2014/main" id="{00000000-0008-0000-0800-00000B4C0000}"/>
            </a:ext>
          </a:extLst>
        </xdr:cNvPr>
        <xdr:cNvSpPr>
          <a:spLocks noChangeShapeType="1"/>
        </xdr:cNvSpPr>
      </xdr:nvSpPr>
      <xdr:spPr bwMode="auto">
        <a:xfrm>
          <a:off x="695325" y="14649450"/>
          <a:ext cx="1047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78</xdr:row>
      <xdr:rowOff>76200</xdr:rowOff>
    </xdr:from>
    <xdr:to>
      <xdr:col>3</xdr:col>
      <xdr:colOff>9525</xdr:colOff>
      <xdr:row>78</xdr:row>
      <xdr:rowOff>76200</xdr:rowOff>
    </xdr:to>
    <xdr:sp macro="" textlink="">
      <xdr:nvSpPr>
        <xdr:cNvPr id="19468" name="Line 12">
          <a:extLst>
            <a:ext uri="{FF2B5EF4-FFF2-40B4-BE49-F238E27FC236}">
              <a16:creationId xmlns:a16="http://schemas.microsoft.com/office/drawing/2014/main" id="{00000000-0008-0000-0800-00000C4C0000}"/>
            </a:ext>
          </a:extLst>
        </xdr:cNvPr>
        <xdr:cNvSpPr>
          <a:spLocks noChangeShapeType="1"/>
        </xdr:cNvSpPr>
      </xdr:nvSpPr>
      <xdr:spPr bwMode="auto">
        <a:xfrm>
          <a:off x="2247900" y="14639925"/>
          <a:ext cx="514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78</xdr:row>
      <xdr:rowOff>85725</xdr:rowOff>
    </xdr:from>
    <xdr:to>
      <xdr:col>3</xdr:col>
      <xdr:colOff>971550</xdr:colOff>
      <xdr:row>78</xdr:row>
      <xdr:rowOff>85725</xdr:rowOff>
    </xdr:to>
    <xdr:sp macro="" textlink="">
      <xdr:nvSpPr>
        <xdr:cNvPr id="19469" name="Line 13">
          <a:extLst>
            <a:ext uri="{FF2B5EF4-FFF2-40B4-BE49-F238E27FC236}">
              <a16:creationId xmlns:a16="http://schemas.microsoft.com/office/drawing/2014/main" id="{00000000-0008-0000-0800-00000D4C0000}"/>
            </a:ext>
          </a:extLst>
        </xdr:cNvPr>
        <xdr:cNvSpPr>
          <a:spLocks noChangeShapeType="1"/>
        </xdr:cNvSpPr>
      </xdr:nvSpPr>
      <xdr:spPr bwMode="auto">
        <a:xfrm>
          <a:off x="3305175" y="14649450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83</xdr:row>
      <xdr:rowOff>0</xdr:rowOff>
    </xdr:from>
    <xdr:to>
      <xdr:col>3</xdr:col>
      <xdr:colOff>981075</xdr:colOff>
      <xdr:row>83</xdr:row>
      <xdr:rowOff>0</xdr:rowOff>
    </xdr:to>
    <xdr:sp macro="" textlink="">
      <xdr:nvSpPr>
        <xdr:cNvPr id="19470" name="Line 14">
          <a:extLst>
            <a:ext uri="{FF2B5EF4-FFF2-40B4-BE49-F238E27FC236}">
              <a16:creationId xmlns:a16="http://schemas.microsoft.com/office/drawing/2014/main" id="{00000000-0008-0000-0800-00000E4C0000}"/>
            </a:ext>
          </a:extLst>
        </xdr:cNvPr>
        <xdr:cNvSpPr>
          <a:spLocks noChangeShapeType="1"/>
        </xdr:cNvSpPr>
      </xdr:nvSpPr>
      <xdr:spPr bwMode="auto">
        <a:xfrm>
          <a:off x="657225" y="15392400"/>
          <a:ext cx="3076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78</xdr:row>
      <xdr:rowOff>85725</xdr:rowOff>
    </xdr:from>
    <xdr:to>
      <xdr:col>3</xdr:col>
      <xdr:colOff>952500</xdr:colOff>
      <xdr:row>80</xdr:row>
      <xdr:rowOff>19050</xdr:rowOff>
    </xdr:to>
    <xdr:sp macro="" textlink="">
      <xdr:nvSpPr>
        <xdr:cNvPr id="19471" name="Line 15">
          <a:extLst>
            <a:ext uri="{FF2B5EF4-FFF2-40B4-BE49-F238E27FC236}">
              <a16:creationId xmlns:a16="http://schemas.microsoft.com/office/drawing/2014/main" id="{00000000-0008-0000-0800-00000F4C0000}"/>
            </a:ext>
          </a:extLst>
        </xdr:cNvPr>
        <xdr:cNvSpPr>
          <a:spLocks noChangeShapeType="1"/>
        </xdr:cNvSpPr>
      </xdr:nvSpPr>
      <xdr:spPr bwMode="auto">
        <a:xfrm>
          <a:off x="3705225" y="14649450"/>
          <a:ext cx="0" cy="276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81</xdr:row>
      <xdr:rowOff>0</xdr:rowOff>
    </xdr:from>
    <xdr:to>
      <xdr:col>3</xdr:col>
      <xdr:colOff>962025</xdr:colOff>
      <xdr:row>83</xdr:row>
      <xdr:rowOff>0</xdr:rowOff>
    </xdr:to>
    <xdr:sp macro="" textlink="">
      <xdr:nvSpPr>
        <xdr:cNvPr id="19472" name="Line 16">
          <a:extLst>
            <a:ext uri="{FF2B5EF4-FFF2-40B4-BE49-F238E27FC236}">
              <a16:creationId xmlns:a16="http://schemas.microsoft.com/office/drawing/2014/main" id="{00000000-0008-0000-0800-0000104C0000}"/>
            </a:ext>
          </a:extLst>
        </xdr:cNvPr>
        <xdr:cNvSpPr>
          <a:spLocks noChangeShapeType="1"/>
        </xdr:cNvSpPr>
      </xdr:nvSpPr>
      <xdr:spPr bwMode="auto">
        <a:xfrm flipV="1">
          <a:off x="3714750" y="15068550"/>
          <a:ext cx="0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79</xdr:row>
      <xdr:rowOff>38100</xdr:rowOff>
    </xdr:from>
    <xdr:to>
      <xdr:col>1</xdr:col>
      <xdr:colOff>381000</xdr:colOff>
      <xdr:row>80</xdr:row>
      <xdr:rowOff>104775</xdr:rowOff>
    </xdr:to>
    <xdr:sp macro="" textlink="">
      <xdr:nvSpPr>
        <xdr:cNvPr id="19473" name="Text Box 17">
          <a:extLst>
            <a:ext uri="{FF2B5EF4-FFF2-40B4-BE49-F238E27FC236}">
              <a16:creationId xmlns:a16="http://schemas.microsoft.com/office/drawing/2014/main" id="{00000000-0008-0000-0800-0000114C0000}"/>
            </a:ext>
          </a:extLst>
        </xdr:cNvPr>
        <xdr:cNvSpPr txBox="1">
          <a:spLocks noChangeArrowheads="1"/>
        </xdr:cNvSpPr>
      </xdr:nvSpPr>
      <xdr:spPr bwMode="auto">
        <a:xfrm>
          <a:off x="1781175" y="1478280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UL</a:t>
          </a:r>
          <a:endParaRPr lang="de-CH"/>
        </a:p>
      </xdr:txBody>
    </xdr:sp>
    <xdr:clientData/>
  </xdr:twoCellAnchor>
  <xdr:twoCellAnchor>
    <xdr:from>
      <xdr:col>3</xdr:col>
      <xdr:colOff>114300</xdr:colOff>
      <xdr:row>79</xdr:row>
      <xdr:rowOff>28575</xdr:rowOff>
    </xdr:from>
    <xdr:to>
      <xdr:col>3</xdr:col>
      <xdr:colOff>400050</xdr:colOff>
      <xdr:row>80</xdr:row>
      <xdr:rowOff>95250</xdr:rowOff>
    </xdr:to>
    <xdr:sp macro="" textlink="">
      <xdr:nvSpPr>
        <xdr:cNvPr id="19474" name="Text Box 18">
          <a:extLst>
            <a:ext uri="{FF2B5EF4-FFF2-40B4-BE49-F238E27FC236}">
              <a16:creationId xmlns:a16="http://schemas.microsoft.com/office/drawing/2014/main" id="{00000000-0008-0000-0800-0000124C0000}"/>
            </a:ext>
          </a:extLst>
        </xdr:cNvPr>
        <xdr:cNvSpPr txBox="1">
          <a:spLocks noChangeArrowheads="1"/>
        </xdr:cNvSpPr>
      </xdr:nvSpPr>
      <xdr:spPr bwMode="auto">
        <a:xfrm>
          <a:off x="2867025" y="1477327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UR</a:t>
          </a:r>
          <a:endParaRPr lang="de-CH"/>
        </a:p>
      </xdr:txBody>
    </xdr:sp>
    <xdr:clientData/>
  </xdr:twoCellAnchor>
  <xdr:twoCellAnchor>
    <xdr:from>
      <xdr:col>1</xdr:col>
      <xdr:colOff>390525</xdr:colOff>
      <xdr:row>82</xdr:row>
      <xdr:rowOff>152400</xdr:rowOff>
    </xdr:from>
    <xdr:to>
      <xdr:col>1</xdr:col>
      <xdr:colOff>638175</xdr:colOff>
      <xdr:row>83</xdr:row>
      <xdr:rowOff>0</xdr:rowOff>
    </xdr:to>
    <xdr:sp macro="" textlink="">
      <xdr:nvSpPr>
        <xdr:cNvPr id="19475" name="Line 19">
          <a:extLst>
            <a:ext uri="{FF2B5EF4-FFF2-40B4-BE49-F238E27FC236}">
              <a16:creationId xmlns:a16="http://schemas.microsoft.com/office/drawing/2014/main" id="{00000000-0008-0000-0800-0000134C0000}"/>
            </a:ext>
          </a:extLst>
        </xdr:cNvPr>
        <xdr:cNvSpPr>
          <a:spLocks noChangeShapeType="1"/>
        </xdr:cNvSpPr>
      </xdr:nvSpPr>
      <xdr:spPr bwMode="auto">
        <a:xfrm flipH="1">
          <a:off x="2076450" y="15382875"/>
          <a:ext cx="247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79</xdr:row>
      <xdr:rowOff>0</xdr:rowOff>
    </xdr:from>
    <xdr:ext cx="76200" cy="200025"/>
    <xdr:sp macro="" textlink="">
      <xdr:nvSpPr>
        <xdr:cNvPr id="19476" name="Text Box 20">
          <a:extLst>
            <a:ext uri="{FF2B5EF4-FFF2-40B4-BE49-F238E27FC236}">
              <a16:creationId xmlns:a16="http://schemas.microsoft.com/office/drawing/2014/main" id="{00000000-0008-0000-0800-0000144C0000}"/>
            </a:ext>
          </a:extLst>
        </xdr:cNvPr>
        <xdr:cNvSpPr txBox="1">
          <a:spLocks noChangeArrowheads="1"/>
        </xdr:cNvSpPr>
      </xdr:nvSpPr>
      <xdr:spPr bwMode="auto">
        <a:xfrm>
          <a:off x="1819275" y="147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81</xdr:row>
      <xdr:rowOff>28575</xdr:rowOff>
    </xdr:from>
    <xdr:to>
      <xdr:col>1</xdr:col>
      <xdr:colOff>542925</xdr:colOff>
      <xdr:row>82</xdr:row>
      <xdr:rowOff>95250</xdr:rowOff>
    </xdr:to>
    <xdr:sp macro="" textlink="">
      <xdr:nvSpPr>
        <xdr:cNvPr id="19477" name="Text Box 21">
          <a:extLst>
            <a:ext uri="{FF2B5EF4-FFF2-40B4-BE49-F238E27FC236}">
              <a16:creationId xmlns:a16="http://schemas.microsoft.com/office/drawing/2014/main" id="{00000000-0008-0000-0800-0000154C0000}"/>
            </a:ext>
          </a:extLst>
        </xdr:cNvPr>
        <xdr:cNvSpPr txBox="1">
          <a:spLocks noChangeArrowheads="1"/>
        </xdr:cNvSpPr>
      </xdr:nvSpPr>
      <xdr:spPr bwMode="auto">
        <a:xfrm>
          <a:off x="2114550" y="1509712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4</xdr:col>
      <xdr:colOff>342900</xdr:colOff>
      <xdr:row>78</xdr:row>
      <xdr:rowOff>95250</xdr:rowOff>
    </xdr:from>
    <xdr:to>
      <xdr:col>5</xdr:col>
      <xdr:colOff>9525</xdr:colOff>
      <xdr:row>78</xdr:row>
      <xdr:rowOff>95250</xdr:rowOff>
    </xdr:to>
    <xdr:sp macro="" textlink="">
      <xdr:nvSpPr>
        <xdr:cNvPr id="19478" name="Line 22">
          <a:extLst>
            <a:ext uri="{FF2B5EF4-FFF2-40B4-BE49-F238E27FC236}">
              <a16:creationId xmlns:a16="http://schemas.microsoft.com/office/drawing/2014/main" id="{00000000-0008-0000-0800-0000164C0000}"/>
            </a:ext>
          </a:extLst>
        </xdr:cNvPr>
        <xdr:cNvSpPr>
          <a:spLocks noChangeShapeType="1"/>
        </xdr:cNvSpPr>
      </xdr:nvSpPr>
      <xdr:spPr bwMode="auto">
        <a:xfrm>
          <a:off x="4467225" y="146589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78</xdr:row>
      <xdr:rowOff>85725</xdr:rowOff>
    </xdr:from>
    <xdr:to>
      <xdr:col>5</xdr:col>
      <xdr:colOff>0</xdr:colOff>
      <xdr:row>82</xdr:row>
      <xdr:rowOff>142875</xdr:rowOff>
    </xdr:to>
    <xdr:sp macro="" textlink="">
      <xdr:nvSpPr>
        <xdr:cNvPr id="19479" name="Line 23">
          <a:extLst>
            <a:ext uri="{FF2B5EF4-FFF2-40B4-BE49-F238E27FC236}">
              <a16:creationId xmlns:a16="http://schemas.microsoft.com/office/drawing/2014/main" id="{00000000-0008-0000-0800-0000174C0000}"/>
            </a:ext>
          </a:extLst>
        </xdr:cNvPr>
        <xdr:cNvSpPr>
          <a:spLocks noChangeShapeType="1"/>
        </xdr:cNvSpPr>
      </xdr:nvSpPr>
      <xdr:spPr bwMode="auto">
        <a:xfrm>
          <a:off x="4886325" y="14649450"/>
          <a:ext cx="0" cy="723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82</xdr:row>
      <xdr:rowOff>142875</xdr:rowOff>
    </xdr:from>
    <xdr:to>
      <xdr:col>3</xdr:col>
      <xdr:colOff>971550</xdr:colOff>
      <xdr:row>82</xdr:row>
      <xdr:rowOff>152400</xdr:rowOff>
    </xdr:to>
    <xdr:sp macro="" textlink="">
      <xdr:nvSpPr>
        <xdr:cNvPr id="19480" name="Line 24">
          <a:extLst>
            <a:ext uri="{FF2B5EF4-FFF2-40B4-BE49-F238E27FC236}">
              <a16:creationId xmlns:a16="http://schemas.microsoft.com/office/drawing/2014/main" id="{00000000-0008-0000-0800-0000184C0000}"/>
            </a:ext>
          </a:extLst>
        </xdr:cNvPr>
        <xdr:cNvSpPr>
          <a:spLocks noChangeShapeType="1"/>
        </xdr:cNvSpPr>
      </xdr:nvSpPr>
      <xdr:spPr bwMode="auto">
        <a:xfrm flipV="1">
          <a:off x="3714750" y="1537335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82</xdr:row>
      <xdr:rowOff>152400</xdr:rowOff>
    </xdr:from>
    <xdr:to>
      <xdr:col>5</xdr:col>
      <xdr:colOff>9525</xdr:colOff>
      <xdr:row>83</xdr:row>
      <xdr:rowOff>0</xdr:rowOff>
    </xdr:to>
    <xdr:sp macro="" textlink="">
      <xdr:nvSpPr>
        <xdr:cNvPr id="19481" name="Line 25">
          <a:extLst>
            <a:ext uri="{FF2B5EF4-FFF2-40B4-BE49-F238E27FC236}">
              <a16:creationId xmlns:a16="http://schemas.microsoft.com/office/drawing/2014/main" id="{00000000-0008-0000-0800-0000194C0000}"/>
            </a:ext>
          </a:extLst>
        </xdr:cNvPr>
        <xdr:cNvSpPr>
          <a:spLocks noChangeShapeType="1"/>
        </xdr:cNvSpPr>
      </xdr:nvSpPr>
      <xdr:spPr bwMode="auto">
        <a:xfrm>
          <a:off x="3714750" y="15382875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77</xdr:row>
      <xdr:rowOff>85725</xdr:rowOff>
    </xdr:from>
    <xdr:to>
      <xdr:col>4</xdr:col>
      <xdr:colOff>219075</xdr:colOff>
      <xdr:row>78</xdr:row>
      <xdr:rowOff>114300</xdr:rowOff>
    </xdr:to>
    <xdr:sp macro="" textlink="">
      <xdr:nvSpPr>
        <xdr:cNvPr id="19482" name="Freeform 26">
          <a:extLst>
            <a:ext uri="{FF2B5EF4-FFF2-40B4-BE49-F238E27FC236}">
              <a16:creationId xmlns:a16="http://schemas.microsoft.com/office/drawing/2014/main" id="{00000000-0008-0000-0800-00001A4C0000}"/>
            </a:ext>
          </a:extLst>
        </xdr:cNvPr>
        <xdr:cNvSpPr>
          <a:spLocks/>
        </xdr:cNvSpPr>
      </xdr:nvSpPr>
      <xdr:spPr bwMode="auto">
        <a:xfrm>
          <a:off x="4133850" y="14449425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1314450</xdr:colOff>
      <xdr:row>77</xdr:row>
      <xdr:rowOff>57150</xdr:rowOff>
    </xdr:from>
    <xdr:to>
      <xdr:col>4</xdr:col>
      <xdr:colOff>76200</xdr:colOff>
      <xdr:row>77</xdr:row>
      <xdr:rowOff>95250</xdr:rowOff>
    </xdr:to>
    <xdr:sp macro="" textlink="">
      <xdr:nvSpPr>
        <xdr:cNvPr id="19483" name="Line 27">
          <a:extLst>
            <a:ext uri="{FF2B5EF4-FFF2-40B4-BE49-F238E27FC236}">
              <a16:creationId xmlns:a16="http://schemas.microsoft.com/office/drawing/2014/main" id="{00000000-0008-0000-0800-00001B4C0000}"/>
            </a:ext>
          </a:extLst>
        </xdr:cNvPr>
        <xdr:cNvSpPr>
          <a:spLocks noChangeShapeType="1"/>
        </xdr:cNvSpPr>
      </xdr:nvSpPr>
      <xdr:spPr bwMode="auto">
        <a:xfrm flipH="1" flipV="1">
          <a:off x="4067175" y="14420850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80</xdr:row>
      <xdr:rowOff>0</xdr:rowOff>
    </xdr:from>
    <xdr:to>
      <xdr:col>0</xdr:col>
      <xdr:colOff>752475</xdr:colOff>
      <xdr:row>81</xdr:row>
      <xdr:rowOff>66675</xdr:rowOff>
    </xdr:to>
    <xdr:sp macro="" textlink="">
      <xdr:nvSpPr>
        <xdr:cNvPr id="19484" name="Text Box 28">
          <a:extLst>
            <a:ext uri="{FF2B5EF4-FFF2-40B4-BE49-F238E27FC236}">
              <a16:creationId xmlns:a16="http://schemas.microsoft.com/office/drawing/2014/main" id="{00000000-0008-0000-0800-00001C4C0000}"/>
            </a:ext>
          </a:extLst>
        </xdr:cNvPr>
        <xdr:cNvSpPr txBox="1">
          <a:spLocks noChangeArrowheads="1"/>
        </xdr:cNvSpPr>
      </xdr:nvSpPr>
      <xdr:spPr bwMode="auto">
        <a:xfrm>
          <a:off x="466725" y="1490662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1304925</xdr:colOff>
      <xdr:row>80</xdr:row>
      <xdr:rowOff>9525</xdr:rowOff>
    </xdr:from>
    <xdr:to>
      <xdr:col>4</xdr:col>
      <xdr:colOff>238125</xdr:colOff>
      <xdr:row>81</xdr:row>
      <xdr:rowOff>76200</xdr:rowOff>
    </xdr:to>
    <xdr:sp macro="" textlink="">
      <xdr:nvSpPr>
        <xdr:cNvPr id="19485" name="Text Box 29">
          <a:extLst>
            <a:ext uri="{FF2B5EF4-FFF2-40B4-BE49-F238E27FC236}">
              <a16:creationId xmlns:a16="http://schemas.microsoft.com/office/drawing/2014/main" id="{00000000-0008-0000-0800-00001D4C0000}"/>
            </a:ext>
          </a:extLst>
        </xdr:cNvPr>
        <xdr:cNvSpPr txBox="1">
          <a:spLocks noChangeArrowheads="1"/>
        </xdr:cNvSpPr>
      </xdr:nvSpPr>
      <xdr:spPr bwMode="auto">
        <a:xfrm>
          <a:off x="4057650" y="14916150"/>
          <a:ext cx="304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Uc</a:t>
          </a:r>
          <a:endParaRPr lang="de-CH"/>
        </a:p>
      </xdr:txBody>
    </xdr:sp>
    <xdr:clientData/>
  </xdr:twoCellAnchor>
  <xdr:twoCellAnchor>
    <xdr:from>
      <xdr:col>0</xdr:col>
      <xdr:colOff>714375</xdr:colOff>
      <xdr:row>43</xdr:row>
      <xdr:rowOff>19050</xdr:rowOff>
    </xdr:from>
    <xdr:to>
      <xdr:col>5</xdr:col>
      <xdr:colOff>438150</xdr:colOff>
      <xdr:row>63</xdr:row>
      <xdr:rowOff>114300</xdr:rowOff>
    </xdr:to>
    <xdr:graphicFrame macro="">
      <xdr:nvGraphicFramePr>
        <xdr:cNvPr id="19486" name="Diagramm 30">
          <a:extLst>
            <a:ext uri="{FF2B5EF4-FFF2-40B4-BE49-F238E27FC236}">
              <a16:creationId xmlns:a16="http://schemas.microsoft.com/office/drawing/2014/main" id="{00000000-0008-0000-0800-00001E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36</xdr:row>
      <xdr:rowOff>57150</xdr:rowOff>
    </xdr:from>
    <xdr:to>
      <xdr:col>5</xdr:col>
      <xdr:colOff>533400</xdr:colOff>
      <xdr:row>36</xdr:row>
      <xdr:rowOff>133350</xdr:rowOff>
    </xdr:to>
    <xdr:sp macro="" textlink="">
      <xdr:nvSpPr>
        <xdr:cNvPr id="19487" name="Oval 31">
          <a:extLst>
            <a:ext uri="{FF2B5EF4-FFF2-40B4-BE49-F238E27FC236}">
              <a16:creationId xmlns:a16="http://schemas.microsoft.com/office/drawing/2014/main" id="{00000000-0008-0000-0800-00001F4C0000}"/>
            </a:ext>
          </a:extLst>
        </xdr:cNvPr>
        <xdr:cNvSpPr>
          <a:spLocks noChangeArrowheads="1"/>
        </xdr:cNvSpPr>
      </xdr:nvSpPr>
      <xdr:spPr bwMode="auto">
        <a:xfrm>
          <a:off x="5324475" y="73342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41</xdr:row>
      <xdr:rowOff>123825</xdr:rowOff>
    </xdr:from>
    <xdr:to>
      <xdr:col>0</xdr:col>
      <xdr:colOff>619125</xdr:colOff>
      <xdr:row>42</xdr:row>
      <xdr:rowOff>28575</xdr:rowOff>
    </xdr:to>
    <xdr:sp macro="" textlink="">
      <xdr:nvSpPr>
        <xdr:cNvPr id="19488" name="Oval 32">
          <a:extLst>
            <a:ext uri="{FF2B5EF4-FFF2-40B4-BE49-F238E27FC236}">
              <a16:creationId xmlns:a16="http://schemas.microsoft.com/office/drawing/2014/main" id="{00000000-0008-0000-0800-0000204C0000}"/>
            </a:ext>
          </a:extLst>
        </xdr:cNvPr>
        <xdr:cNvSpPr>
          <a:spLocks noChangeArrowheads="1"/>
        </xdr:cNvSpPr>
      </xdr:nvSpPr>
      <xdr:spPr bwMode="auto">
        <a:xfrm>
          <a:off x="542925" y="82486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36</xdr:row>
      <xdr:rowOff>38100</xdr:rowOff>
    </xdr:from>
    <xdr:to>
      <xdr:col>0</xdr:col>
      <xdr:colOff>676275</xdr:colOff>
      <xdr:row>36</xdr:row>
      <xdr:rowOff>123825</xdr:rowOff>
    </xdr:to>
    <xdr:sp macro="" textlink="">
      <xdr:nvSpPr>
        <xdr:cNvPr id="19489" name="Oval 33">
          <a:extLst>
            <a:ext uri="{FF2B5EF4-FFF2-40B4-BE49-F238E27FC236}">
              <a16:creationId xmlns:a16="http://schemas.microsoft.com/office/drawing/2014/main" id="{00000000-0008-0000-0800-0000214C0000}"/>
            </a:ext>
          </a:extLst>
        </xdr:cNvPr>
        <xdr:cNvSpPr>
          <a:spLocks noChangeArrowheads="1"/>
        </xdr:cNvSpPr>
      </xdr:nvSpPr>
      <xdr:spPr bwMode="auto">
        <a:xfrm>
          <a:off x="600075" y="73152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36</xdr:row>
      <xdr:rowOff>57150</xdr:rowOff>
    </xdr:from>
    <xdr:to>
      <xdr:col>6</xdr:col>
      <xdr:colOff>66675</xdr:colOff>
      <xdr:row>36</xdr:row>
      <xdr:rowOff>133350</xdr:rowOff>
    </xdr:to>
    <xdr:sp macro="" textlink="">
      <xdr:nvSpPr>
        <xdr:cNvPr id="19490" name="Oval 34">
          <a:extLst>
            <a:ext uri="{FF2B5EF4-FFF2-40B4-BE49-F238E27FC236}">
              <a16:creationId xmlns:a16="http://schemas.microsoft.com/office/drawing/2014/main" id="{00000000-0008-0000-0800-0000224C0000}"/>
            </a:ext>
          </a:extLst>
        </xdr:cNvPr>
        <xdr:cNvSpPr>
          <a:spLocks noChangeArrowheads="1"/>
        </xdr:cNvSpPr>
      </xdr:nvSpPr>
      <xdr:spPr bwMode="auto">
        <a:xfrm>
          <a:off x="5638800" y="73342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35</xdr:row>
      <xdr:rowOff>171450</xdr:rowOff>
    </xdr:from>
    <xdr:to>
      <xdr:col>4</xdr:col>
      <xdr:colOff>400050</xdr:colOff>
      <xdr:row>37</xdr:row>
      <xdr:rowOff>0</xdr:rowOff>
    </xdr:to>
    <xdr:sp macro="" textlink="">
      <xdr:nvSpPr>
        <xdr:cNvPr id="19491" name="Rectangle 35">
          <a:extLst>
            <a:ext uri="{FF2B5EF4-FFF2-40B4-BE49-F238E27FC236}">
              <a16:creationId xmlns:a16="http://schemas.microsoft.com/office/drawing/2014/main" id="{00000000-0008-0000-0800-0000234C0000}"/>
            </a:ext>
          </a:extLst>
        </xdr:cNvPr>
        <xdr:cNvSpPr>
          <a:spLocks noChangeArrowheads="1"/>
        </xdr:cNvSpPr>
      </xdr:nvSpPr>
      <xdr:spPr bwMode="auto">
        <a:xfrm>
          <a:off x="3971925" y="7248525"/>
          <a:ext cx="552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35</xdr:row>
      <xdr:rowOff>190500</xdr:rowOff>
    </xdr:from>
    <xdr:to>
      <xdr:col>3</xdr:col>
      <xdr:colOff>809625</xdr:colOff>
      <xdr:row>36</xdr:row>
      <xdr:rowOff>152400</xdr:rowOff>
    </xdr:to>
    <xdr:sp macro="" textlink="">
      <xdr:nvSpPr>
        <xdr:cNvPr id="19492" name="Rectangle 36">
          <a:extLst>
            <a:ext uri="{FF2B5EF4-FFF2-40B4-BE49-F238E27FC236}">
              <a16:creationId xmlns:a16="http://schemas.microsoft.com/office/drawing/2014/main" id="{00000000-0008-0000-0800-0000244C0000}"/>
            </a:ext>
          </a:extLst>
        </xdr:cNvPr>
        <xdr:cNvSpPr>
          <a:spLocks noChangeArrowheads="1"/>
        </xdr:cNvSpPr>
      </xdr:nvSpPr>
      <xdr:spPr bwMode="auto">
        <a:xfrm>
          <a:off x="3028950" y="726757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39</xdr:row>
      <xdr:rowOff>28575</xdr:rowOff>
    </xdr:from>
    <xdr:to>
      <xdr:col>5</xdr:col>
      <xdr:colOff>342900</xdr:colOff>
      <xdr:row>39</xdr:row>
      <xdr:rowOff>28575</xdr:rowOff>
    </xdr:to>
    <xdr:sp macro="" textlink="">
      <xdr:nvSpPr>
        <xdr:cNvPr id="19493" name="Line 37">
          <a:extLst>
            <a:ext uri="{FF2B5EF4-FFF2-40B4-BE49-F238E27FC236}">
              <a16:creationId xmlns:a16="http://schemas.microsoft.com/office/drawing/2014/main" id="{00000000-0008-0000-0800-0000254C0000}"/>
            </a:ext>
          </a:extLst>
        </xdr:cNvPr>
        <xdr:cNvSpPr>
          <a:spLocks noChangeShapeType="1"/>
        </xdr:cNvSpPr>
      </xdr:nvSpPr>
      <xdr:spPr bwMode="auto">
        <a:xfrm>
          <a:off x="4752975" y="78295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39</xdr:row>
      <xdr:rowOff>133350</xdr:rowOff>
    </xdr:from>
    <xdr:to>
      <xdr:col>5</xdr:col>
      <xdr:colOff>342900</xdr:colOff>
      <xdr:row>39</xdr:row>
      <xdr:rowOff>133350</xdr:rowOff>
    </xdr:to>
    <xdr:sp macro="" textlink="">
      <xdr:nvSpPr>
        <xdr:cNvPr id="19494" name="Line 38">
          <a:extLst>
            <a:ext uri="{FF2B5EF4-FFF2-40B4-BE49-F238E27FC236}">
              <a16:creationId xmlns:a16="http://schemas.microsoft.com/office/drawing/2014/main" id="{00000000-0008-0000-0800-0000264C0000}"/>
            </a:ext>
          </a:extLst>
        </xdr:cNvPr>
        <xdr:cNvSpPr>
          <a:spLocks noChangeShapeType="1"/>
        </xdr:cNvSpPr>
      </xdr:nvSpPr>
      <xdr:spPr bwMode="auto">
        <a:xfrm>
          <a:off x="4752975" y="79343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36</xdr:row>
      <xdr:rowOff>66675</xdr:rowOff>
    </xdr:from>
    <xdr:to>
      <xdr:col>5</xdr:col>
      <xdr:colOff>752475</xdr:colOff>
      <xdr:row>36</xdr:row>
      <xdr:rowOff>95250</xdr:rowOff>
    </xdr:to>
    <xdr:sp macro="" textlink="">
      <xdr:nvSpPr>
        <xdr:cNvPr id="19495" name="Line 39">
          <a:extLst>
            <a:ext uri="{FF2B5EF4-FFF2-40B4-BE49-F238E27FC236}">
              <a16:creationId xmlns:a16="http://schemas.microsoft.com/office/drawing/2014/main" id="{00000000-0008-0000-0800-0000274C0000}"/>
            </a:ext>
          </a:extLst>
        </xdr:cNvPr>
        <xdr:cNvSpPr>
          <a:spLocks noChangeShapeType="1"/>
        </xdr:cNvSpPr>
      </xdr:nvSpPr>
      <xdr:spPr bwMode="auto">
        <a:xfrm flipV="1">
          <a:off x="5400675" y="7343775"/>
          <a:ext cx="238125" cy="285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36</xdr:row>
      <xdr:rowOff>104775</xdr:rowOff>
    </xdr:from>
    <xdr:to>
      <xdr:col>5</xdr:col>
      <xdr:colOff>466725</xdr:colOff>
      <xdr:row>36</xdr:row>
      <xdr:rowOff>104775</xdr:rowOff>
    </xdr:to>
    <xdr:sp macro="" textlink="">
      <xdr:nvSpPr>
        <xdr:cNvPr id="19496" name="Line 40">
          <a:extLst>
            <a:ext uri="{FF2B5EF4-FFF2-40B4-BE49-F238E27FC236}">
              <a16:creationId xmlns:a16="http://schemas.microsoft.com/office/drawing/2014/main" id="{00000000-0008-0000-0800-0000284C0000}"/>
            </a:ext>
          </a:extLst>
        </xdr:cNvPr>
        <xdr:cNvSpPr>
          <a:spLocks noChangeShapeType="1"/>
        </xdr:cNvSpPr>
      </xdr:nvSpPr>
      <xdr:spPr bwMode="auto">
        <a:xfrm>
          <a:off x="4972050" y="73818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36</xdr:row>
      <xdr:rowOff>85725</xdr:rowOff>
    </xdr:from>
    <xdr:to>
      <xdr:col>3</xdr:col>
      <xdr:colOff>285750</xdr:colOff>
      <xdr:row>36</xdr:row>
      <xdr:rowOff>85725</xdr:rowOff>
    </xdr:to>
    <xdr:sp macro="" textlink="">
      <xdr:nvSpPr>
        <xdr:cNvPr id="19497" name="Line 41">
          <a:extLst>
            <a:ext uri="{FF2B5EF4-FFF2-40B4-BE49-F238E27FC236}">
              <a16:creationId xmlns:a16="http://schemas.microsoft.com/office/drawing/2014/main" id="{00000000-0008-0000-0800-0000294C0000}"/>
            </a:ext>
          </a:extLst>
        </xdr:cNvPr>
        <xdr:cNvSpPr>
          <a:spLocks noChangeShapeType="1"/>
        </xdr:cNvSpPr>
      </xdr:nvSpPr>
      <xdr:spPr bwMode="auto">
        <a:xfrm flipV="1">
          <a:off x="695325" y="7362825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36</xdr:row>
      <xdr:rowOff>76200</xdr:rowOff>
    </xdr:from>
    <xdr:to>
      <xdr:col>3</xdr:col>
      <xdr:colOff>1238250</xdr:colOff>
      <xdr:row>36</xdr:row>
      <xdr:rowOff>76200</xdr:rowOff>
    </xdr:to>
    <xdr:sp macro="" textlink="">
      <xdr:nvSpPr>
        <xdr:cNvPr id="19498" name="Line 42">
          <a:extLst>
            <a:ext uri="{FF2B5EF4-FFF2-40B4-BE49-F238E27FC236}">
              <a16:creationId xmlns:a16="http://schemas.microsoft.com/office/drawing/2014/main" id="{00000000-0008-0000-0800-00002A4C0000}"/>
            </a:ext>
          </a:extLst>
        </xdr:cNvPr>
        <xdr:cNvSpPr>
          <a:spLocks noChangeShapeType="1"/>
        </xdr:cNvSpPr>
      </xdr:nvSpPr>
      <xdr:spPr bwMode="auto">
        <a:xfrm>
          <a:off x="3562350" y="73533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36</xdr:row>
      <xdr:rowOff>104775</xdr:rowOff>
    </xdr:from>
    <xdr:to>
      <xdr:col>5</xdr:col>
      <xdr:colOff>38100</xdr:colOff>
      <xdr:row>36</xdr:row>
      <xdr:rowOff>104775</xdr:rowOff>
    </xdr:to>
    <xdr:sp macro="" textlink="">
      <xdr:nvSpPr>
        <xdr:cNvPr id="19499" name="Line 43">
          <a:extLst>
            <a:ext uri="{FF2B5EF4-FFF2-40B4-BE49-F238E27FC236}">
              <a16:creationId xmlns:a16="http://schemas.microsoft.com/office/drawing/2014/main" id="{00000000-0008-0000-0800-00002B4C0000}"/>
            </a:ext>
          </a:extLst>
        </xdr:cNvPr>
        <xdr:cNvSpPr>
          <a:spLocks noChangeShapeType="1"/>
        </xdr:cNvSpPr>
      </xdr:nvSpPr>
      <xdr:spPr bwMode="auto">
        <a:xfrm>
          <a:off x="4505325" y="73818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41</xdr:row>
      <xdr:rowOff>171450</xdr:rowOff>
    </xdr:from>
    <xdr:to>
      <xdr:col>5</xdr:col>
      <xdr:colOff>85725</xdr:colOff>
      <xdr:row>41</xdr:row>
      <xdr:rowOff>171450</xdr:rowOff>
    </xdr:to>
    <xdr:sp macro="" textlink="">
      <xdr:nvSpPr>
        <xdr:cNvPr id="19500" name="Line 44">
          <a:extLst>
            <a:ext uri="{FF2B5EF4-FFF2-40B4-BE49-F238E27FC236}">
              <a16:creationId xmlns:a16="http://schemas.microsoft.com/office/drawing/2014/main" id="{00000000-0008-0000-0800-00002C4C0000}"/>
            </a:ext>
          </a:extLst>
        </xdr:cNvPr>
        <xdr:cNvSpPr>
          <a:spLocks noChangeShapeType="1"/>
        </xdr:cNvSpPr>
      </xdr:nvSpPr>
      <xdr:spPr bwMode="auto">
        <a:xfrm>
          <a:off x="638175" y="8286750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36</xdr:row>
      <xdr:rowOff>95250</xdr:rowOff>
    </xdr:from>
    <xdr:to>
      <xdr:col>5</xdr:col>
      <xdr:colOff>95250</xdr:colOff>
      <xdr:row>39</xdr:row>
      <xdr:rowOff>28575</xdr:rowOff>
    </xdr:to>
    <xdr:sp macro="" textlink="">
      <xdr:nvSpPr>
        <xdr:cNvPr id="19501" name="Line 45">
          <a:extLst>
            <a:ext uri="{FF2B5EF4-FFF2-40B4-BE49-F238E27FC236}">
              <a16:creationId xmlns:a16="http://schemas.microsoft.com/office/drawing/2014/main" id="{00000000-0008-0000-0800-00002D4C0000}"/>
            </a:ext>
          </a:extLst>
        </xdr:cNvPr>
        <xdr:cNvSpPr>
          <a:spLocks noChangeShapeType="1"/>
        </xdr:cNvSpPr>
      </xdr:nvSpPr>
      <xdr:spPr bwMode="auto">
        <a:xfrm>
          <a:off x="4981575" y="7372350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39</xdr:row>
      <xdr:rowOff>133350</xdr:rowOff>
    </xdr:from>
    <xdr:to>
      <xdr:col>5</xdr:col>
      <xdr:colOff>104775</xdr:colOff>
      <xdr:row>41</xdr:row>
      <xdr:rowOff>171450</xdr:rowOff>
    </xdr:to>
    <xdr:sp macro="" textlink="">
      <xdr:nvSpPr>
        <xdr:cNvPr id="19502" name="Line 46">
          <a:extLst>
            <a:ext uri="{FF2B5EF4-FFF2-40B4-BE49-F238E27FC236}">
              <a16:creationId xmlns:a16="http://schemas.microsoft.com/office/drawing/2014/main" id="{00000000-0008-0000-0800-00002E4C0000}"/>
            </a:ext>
          </a:extLst>
        </xdr:cNvPr>
        <xdr:cNvSpPr>
          <a:spLocks noChangeShapeType="1"/>
        </xdr:cNvSpPr>
      </xdr:nvSpPr>
      <xdr:spPr bwMode="auto">
        <a:xfrm flipV="1">
          <a:off x="4991100" y="7934325"/>
          <a:ext cx="0" cy="3524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41</xdr:row>
      <xdr:rowOff>171450</xdr:rowOff>
    </xdr:from>
    <xdr:to>
      <xdr:col>1</xdr:col>
      <xdr:colOff>619125</xdr:colOff>
      <xdr:row>41</xdr:row>
      <xdr:rowOff>171450</xdr:rowOff>
    </xdr:to>
    <xdr:sp macro="" textlink="">
      <xdr:nvSpPr>
        <xdr:cNvPr id="19503" name="Line 47">
          <a:extLst>
            <a:ext uri="{FF2B5EF4-FFF2-40B4-BE49-F238E27FC236}">
              <a16:creationId xmlns:a16="http://schemas.microsoft.com/office/drawing/2014/main" id="{00000000-0008-0000-0800-00002F4C0000}"/>
            </a:ext>
          </a:extLst>
        </xdr:cNvPr>
        <xdr:cNvSpPr>
          <a:spLocks noChangeShapeType="1"/>
        </xdr:cNvSpPr>
      </xdr:nvSpPr>
      <xdr:spPr bwMode="auto">
        <a:xfrm flipH="1">
          <a:off x="2038350" y="82867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38</xdr:row>
      <xdr:rowOff>0</xdr:rowOff>
    </xdr:from>
    <xdr:ext cx="76200" cy="200025"/>
    <xdr:sp macro="" textlink="">
      <xdr:nvSpPr>
        <xdr:cNvPr id="19504" name="Text Box 48">
          <a:extLst>
            <a:ext uri="{FF2B5EF4-FFF2-40B4-BE49-F238E27FC236}">
              <a16:creationId xmlns:a16="http://schemas.microsoft.com/office/drawing/2014/main" id="{00000000-0008-0000-0800-0000304C0000}"/>
            </a:ext>
          </a:extLst>
        </xdr:cNvPr>
        <xdr:cNvSpPr txBox="1">
          <a:spLocks noChangeArrowheads="1"/>
        </xdr:cNvSpPr>
      </xdr:nvSpPr>
      <xdr:spPr bwMode="auto">
        <a:xfrm>
          <a:off x="1819275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40</xdr:row>
      <xdr:rowOff>28575</xdr:rowOff>
    </xdr:from>
    <xdr:to>
      <xdr:col>1</xdr:col>
      <xdr:colOff>542925</xdr:colOff>
      <xdr:row>41</xdr:row>
      <xdr:rowOff>95250</xdr:rowOff>
    </xdr:to>
    <xdr:sp macro="" textlink="">
      <xdr:nvSpPr>
        <xdr:cNvPr id="19505" name="Text Box 49">
          <a:extLst>
            <a:ext uri="{FF2B5EF4-FFF2-40B4-BE49-F238E27FC236}">
              <a16:creationId xmlns:a16="http://schemas.microsoft.com/office/drawing/2014/main" id="{00000000-0008-0000-0800-0000314C0000}"/>
            </a:ext>
          </a:extLst>
        </xdr:cNvPr>
        <xdr:cNvSpPr txBox="1">
          <a:spLocks noChangeArrowheads="1"/>
        </xdr:cNvSpPr>
      </xdr:nvSpPr>
      <xdr:spPr bwMode="auto">
        <a:xfrm>
          <a:off x="2114550" y="799147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36</xdr:row>
      <xdr:rowOff>95250</xdr:rowOff>
    </xdr:from>
    <xdr:to>
      <xdr:col>6</xdr:col>
      <xdr:colOff>523875</xdr:colOff>
      <xdr:row>36</xdr:row>
      <xdr:rowOff>104775</xdr:rowOff>
    </xdr:to>
    <xdr:sp macro="" textlink="">
      <xdr:nvSpPr>
        <xdr:cNvPr id="19506" name="Line 50">
          <a:extLst>
            <a:ext uri="{FF2B5EF4-FFF2-40B4-BE49-F238E27FC236}">
              <a16:creationId xmlns:a16="http://schemas.microsoft.com/office/drawing/2014/main" id="{00000000-0008-0000-0800-0000324C0000}"/>
            </a:ext>
          </a:extLst>
        </xdr:cNvPr>
        <xdr:cNvSpPr>
          <a:spLocks noChangeShapeType="1"/>
        </xdr:cNvSpPr>
      </xdr:nvSpPr>
      <xdr:spPr bwMode="auto">
        <a:xfrm flipV="1">
          <a:off x="5715000" y="7372350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36</xdr:row>
      <xdr:rowOff>104775</xdr:rowOff>
    </xdr:from>
    <xdr:to>
      <xdr:col>6</xdr:col>
      <xdr:colOff>514350</xdr:colOff>
      <xdr:row>41</xdr:row>
      <xdr:rowOff>161925</xdr:rowOff>
    </xdr:to>
    <xdr:sp macro="" textlink="">
      <xdr:nvSpPr>
        <xdr:cNvPr id="19507" name="Line 51">
          <a:extLst>
            <a:ext uri="{FF2B5EF4-FFF2-40B4-BE49-F238E27FC236}">
              <a16:creationId xmlns:a16="http://schemas.microsoft.com/office/drawing/2014/main" id="{00000000-0008-0000-0800-0000334C0000}"/>
            </a:ext>
          </a:extLst>
        </xdr:cNvPr>
        <xdr:cNvSpPr>
          <a:spLocks noChangeShapeType="1"/>
        </xdr:cNvSpPr>
      </xdr:nvSpPr>
      <xdr:spPr bwMode="auto">
        <a:xfrm>
          <a:off x="6162675" y="7381875"/>
          <a:ext cx="0" cy="904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41</xdr:row>
      <xdr:rowOff>142875</xdr:rowOff>
    </xdr:from>
    <xdr:to>
      <xdr:col>3</xdr:col>
      <xdr:colOff>971550</xdr:colOff>
      <xdr:row>41</xdr:row>
      <xdr:rowOff>152400</xdr:rowOff>
    </xdr:to>
    <xdr:sp macro="" textlink="">
      <xdr:nvSpPr>
        <xdr:cNvPr id="19508" name="Line 52">
          <a:extLst>
            <a:ext uri="{FF2B5EF4-FFF2-40B4-BE49-F238E27FC236}">
              <a16:creationId xmlns:a16="http://schemas.microsoft.com/office/drawing/2014/main" id="{00000000-0008-0000-0800-0000344C0000}"/>
            </a:ext>
          </a:extLst>
        </xdr:cNvPr>
        <xdr:cNvSpPr>
          <a:spLocks noChangeShapeType="1"/>
        </xdr:cNvSpPr>
      </xdr:nvSpPr>
      <xdr:spPr bwMode="auto">
        <a:xfrm flipV="1">
          <a:off x="3714750" y="82677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41</xdr:row>
      <xdr:rowOff>161925</xdr:rowOff>
    </xdr:from>
    <xdr:to>
      <xdr:col>6</xdr:col>
      <xdr:colOff>523875</xdr:colOff>
      <xdr:row>41</xdr:row>
      <xdr:rowOff>171450</xdr:rowOff>
    </xdr:to>
    <xdr:sp macro="" textlink="">
      <xdr:nvSpPr>
        <xdr:cNvPr id="19509" name="Line 53">
          <a:extLst>
            <a:ext uri="{FF2B5EF4-FFF2-40B4-BE49-F238E27FC236}">
              <a16:creationId xmlns:a16="http://schemas.microsoft.com/office/drawing/2014/main" id="{00000000-0008-0000-0800-0000354C0000}"/>
            </a:ext>
          </a:extLst>
        </xdr:cNvPr>
        <xdr:cNvSpPr>
          <a:spLocks noChangeShapeType="1"/>
        </xdr:cNvSpPr>
      </xdr:nvSpPr>
      <xdr:spPr bwMode="auto">
        <a:xfrm flipV="1">
          <a:off x="5000625" y="8286750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485775</xdr:colOff>
      <xdr:row>35</xdr:row>
      <xdr:rowOff>123825</xdr:rowOff>
    </xdr:from>
    <xdr:to>
      <xdr:col>5</xdr:col>
      <xdr:colOff>676275</xdr:colOff>
      <xdr:row>37</xdr:row>
      <xdr:rowOff>104775</xdr:rowOff>
    </xdr:to>
    <xdr:sp macro="" textlink="">
      <xdr:nvSpPr>
        <xdr:cNvPr id="19510" name="Freeform 54">
          <a:extLst>
            <a:ext uri="{FF2B5EF4-FFF2-40B4-BE49-F238E27FC236}">
              <a16:creationId xmlns:a16="http://schemas.microsoft.com/office/drawing/2014/main" id="{00000000-0008-0000-0800-0000364C0000}"/>
            </a:ext>
          </a:extLst>
        </xdr:cNvPr>
        <xdr:cNvSpPr>
          <a:spLocks/>
        </xdr:cNvSpPr>
      </xdr:nvSpPr>
      <xdr:spPr bwMode="auto">
        <a:xfrm>
          <a:off x="5372100" y="7200900"/>
          <a:ext cx="190500" cy="3429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514350</xdr:colOff>
      <xdr:row>38</xdr:row>
      <xdr:rowOff>161925</xdr:rowOff>
    </xdr:from>
    <xdr:to>
      <xdr:col>0</xdr:col>
      <xdr:colOff>800100</xdr:colOff>
      <xdr:row>40</xdr:row>
      <xdr:rowOff>28575</xdr:rowOff>
    </xdr:to>
    <xdr:sp macro="" textlink="">
      <xdr:nvSpPr>
        <xdr:cNvPr id="19511" name="Text Box 55">
          <a:extLst>
            <a:ext uri="{FF2B5EF4-FFF2-40B4-BE49-F238E27FC236}">
              <a16:creationId xmlns:a16="http://schemas.microsoft.com/office/drawing/2014/main" id="{00000000-0008-0000-0800-0000374C0000}"/>
            </a:ext>
          </a:extLst>
        </xdr:cNvPr>
        <xdr:cNvSpPr txBox="1">
          <a:spLocks noChangeArrowheads="1"/>
        </xdr:cNvSpPr>
      </xdr:nvSpPr>
      <xdr:spPr bwMode="auto">
        <a:xfrm>
          <a:off x="514350" y="776287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5</xdr:col>
      <xdr:colOff>666750</xdr:colOff>
      <xdr:row>37</xdr:row>
      <xdr:rowOff>57150</xdr:rowOff>
    </xdr:from>
    <xdr:to>
      <xdr:col>5</xdr:col>
      <xdr:colOff>666750</xdr:colOff>
      <xdr:row>38</xdr:row>
      <xdr:rowOff>47625</xdr:rowOff>
    </xdr:to>
    <xdr:sp macro="" textlink="">
      <xdr:nvSpPr>
        <xdr:cNvPr id="19512" name="Line 56">
          <a:extLst>
            <a:ext uri="{FF2B5EF4-FFF2-40B4-BE49-F238E27FC236}">
              <a16:creationId xmlns:a16="http://schemas.microsoft.com/office/drawing/2014/main" id="{00000000-0008-0000-0800-0000384C0000}"/>
            </a:ext>
          </a:extLst>
        </xdr:cNvPr>
        <xdr:cNvSpPr>
          <a:spLocks noChangeShapeType="1"/>
        </xdr:cNvSpPr>
      </xdr:nvSpPr>
      <xdr:spPr bwMode="auto">
        <a:xfrm flipH="1">
          <a:off x="5553075" y="74961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157</xdr:row>
      <xdr:rowOff>0</xdr:rowOff>
    </xdr:from>
    <xdr:to>
      <xdr:col>10</xdr:col>
      <xdr:colOff>476250</xdr:colOff>
      <xdr:row>186</xdr:row>
      <xdr:rowOff>152400</xdr:rowOff>
    </xdr:to>
    <xdr:graphicFrame macro="">
      <xdr:nvGraphicFramePr>
        <xdr:cNvPr id="19513" name="Diagramm 57">
          <a:extLst>
            <a:ext uri="{FF2B5EF4-FFF2-40B4-BE49-F238E27FC236}">
              <a16:creationId xmlns:a16="http://schemas.microsoft.com/office/drawing/2014/main" id="{00000000-0008-0000-0800-00003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1209675</xdr:colOff>
      <xdr:row>34</xdr:row>
      <xdr:rowOff>76200</xdr:rowOff>
    </xdr:from>
    <xdr:to>
      <xdr:col>4</xdr:col>
      <xdr:colOff>390525</xdr:colOff>
      <xdr:row>35</xdr:row>
      <xdr:rowOff>85725</xdr:rowOff>
    </xdr:to>
    <xdr:sp macro="" textlink="">
      <xdr:nvSpPr>
        <xdr:cNvPr id="19514" name="Rectangle 58">
          <a:extLst>
            <a:ext uri="{FF2B5EF4-FFF2-40B4-BE49-F238E27FC236}">
              <a16:creationId xmlns:a16="http://schemas.microsoft.com/office/drawing/2014/main" id="{00000000-0008-0000-0800-00003A4C0000}"/>
            </a:ext>
          </a:extLst>
        </xdr:cNvPr>
        <xdr:cNvSpPr>
          <a:spLocks noChangeArrowheads="1"/>
        </xdr:cNvSpPr>
      </xdr:nvSpPr>
      <xdr:spPr bwMode="auto">
        <a:xfrm>
          <a:off x="3962400" y="6953250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34</xdr:row>
      <xdr:rowOff>123825</xdr:rowOff>
    </xdr:from>
    <xdr:to>
      <xdr:col>3</xdr:col>
      <xdr:colOff>819150</xdr:colOff>
      <xdr:row>35</xdr:row>
      <xdr:rowOff>85725</xdr:rowOff>
    </xdr:to>
    <xdr:sp macro="" textlink="">
      <xdr:nvSpPr>
        <xdr:cNvPr id="19515" name="Rectangle 59">
          <a:extLst>
            <a:ext uri="{FF2B5EF4-FFF2-40B4-BE49-F238E27FC236}">
              <a16:creationId xmlns:a16="http://schemas.microsoft.com/office/drawing/2014/main" id="{00000000-0008-0000-0800-00003B4C0000}"/>
            </a:ext>
          </a:extLst>
        </xdr:cNvPr>
        <xdr:cNvSpPr>
          <a:spLocks noChangeArrowheads="1"/>
        </xdr:cNvSpPr>
      </xdr:nvSpPr>
      <xdr:spPr bwMode="auto">
        <a:xfrm>
          <a:off x="3038475" y="700087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35</xdr:row>
      <xdr:rowOff>0</xdr:rowOff>
    </xdr:from>
    <xdr:to>
      <xdr:col>3</xdr:col>
      <xdr:colOff>1257300</xdr:colOff>
      <xdr:row>35</xdr:row>
      <xdr:rowOff>0</xdr:rowOff>
    </xdr:to>
    <xdr:sp macro="" textlink="">
      <xdr:nvSpPr>
        <xdr:cNvPr id="19516" name="Line 60">
          <a:extLst>
            <a:ext uri="{FF2B5EF4-FFF2-40B4-BE49-F238E27FC236}">
              <a16:creationId xmlns:a16="http://schemas.microsoft.com/office/drawing/2014/main" id="{00000000-0008-0000-0800-00003C4C0000}"/>
            </a:ext>
          </a:extLst>
        </xdr:cNvPr>
        <xdr:cNvSpPr>
          <a:spLocks noChangeShapeType="1"/>
        </xdr:cNvSpPr>
      </xdr:nvSpPr>
      <xdr:spPr bwMode="auto">
        <a:xfrm>
          <a:off x="3581400" y="70770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35</xdr:row>
      <xdr:rowOff>9525</xdr:rowOff>
    </xdr:from>
    <xdr:to>
      <xdr:col>3</xdr:col>
      <xdr:colOff>276225</xdr:colOff>
      <xdr:row>35</xdr:row>
      <xdr:rowOff>9525</xdr:rowOff>
    </xdr:to>
    <xdr:sp macro="" textlink="">
      <xdr:nvSpPr>
        <xdr:cNvPr id="19517" name="Line 61">
          <a:extLst>
            <a:ext uri="{FF2B5EF4-FFF2-40B4-BE49-F238E27FC236}">
              <a16:creationId xmlns:a16="http://schemas.microsoft.com/office/drawing/2014/main" id="{00000000-0008-0000-0800-00003D4C0000}"/>
            </a:ext>
          </a:extLst>
        </xdr:cNvPr>
        <xdr:cNvSpPr>
          <a:spLocks noChangeShapeType="1"/>
        </xdr:cNvSpPr>
      </xdr:nvSpPr>
      <xdr:spPr bwMode="auto">
        <a:xfrm>
          <a:off x="2771775" y="7086600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31</xdr:row>
      <xdr:rowOff>66675</xdr:rowOff>
    </xdr:from>
    <xdr:to>
      <xdr:col>4</xdr:col>
      <xdr:colOff>95250</xdr:colOff>
      <xdr:row>32</xdr:row>
      <xdr:rowOff>142875</xdr:rowOff>
    </xdr:to>
    <xdr:sp macro="" textlink="">
      <xdr:nvSpPr>
        <xdr:cNvPr id="19518" name="Line 62">
          <a:extLst>
            <a:ext uri="{FF2B5EF4-FFF2-40B4-BE49-F238E27FC236}">
              <a16:creationId xmlns:a16="http://schemas.microsoft.com/office/drawing/2014/main" id="{00000000-0008-0000-0800-00003E4C0000}"/>
            </a:ext>
          </a:extLst>
        </xdr:cNvPr>
        <xdr:cNvSpPr>
          <a:spLocks noChangeShapeType="1"/>
        </xdr:cNvSpPr>
      </xdr:nvSpPr>
      <xdr:spPr bwMode="auto">
        <a:xfrm>
          <a:off x="4219575" y="6276975"/>
          <a:ext cx="0" cy="2762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66675</xdr:rowOff>
    </xdr:from>
    <xdr:to>
      <xdr:col>4</xdr:col>
      <xdr:colOff>0</xdr:colOff>
      <xdr:row>32</xdr:row>
      <xdr:rowOff>142875</xdr:rowOff>
    </xdr:to>
    <xdr:sp macro="" textlink="">
      <xdr:nvSpPr>
        <xdr:cNvPr id="19519" name="Line 63">
          <a:extLst>
            <a:ext uri="{FF2B5EF4-FFF2-40B4-BE49-F238E27FC236}">
              <a16:creationId xmlns:a16="http://schemas.microsoft.com/office/drawing/2014/main" id="{00000000-0008-0000-0800-00003F4C0000}"/>
            </a:ext>
          </a:extLst>
        </xdr:cNvPr>
        <xdr:cNvSpPr>
          <a:spLocks noChangeShapeType="1"/>
        </xdr:cNvSpPr>
      </xdr:nvSpPr>
      <xdr:spPr bwMode="auto">
        <a:xfrm>
          <a:off x="4124325" y="6276975"/>
          <a:ext cx="0" cy="2762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31</xdr:row>
      <xdr:rowOff>190500</xdr:rowOff>
    </xdr:from>
    <xdr:to>
      <xdr:col>5</xdr:col>
      <xdr:colOff>542925</xdr:colOff>
      <xdr:row>32</xdr:row>
      <xdr:rowOff>0</xdr:rowOff>
    </xdr:to>
    <xdr:sp macro="" textlink="">
      <xdr:nvSpPr>
        <xdr:cNvPr id="19520" name="Line 64">
          <a:extLst>
            <a:ext uri="{FF2B5EF4-FFF2-40B4-BE49-F238E27FC236}">
              <a16:creationId xmlns:a16="http://schemas.microsoft.com/office/drawing/2014/main" id="{00000000-0008-0000-0800-0000404C0000}"/>
            </a:ext>
          </a:extLst>
        </xdr:cNvPr>
        <xdr:cNvSpPr>
          <a:spLocks noChangeShapeType="1"/>
        </xdr:cNvSpPr>
      </xdr:nvSpPr>
      <xdr:spPr bwMode="auto">
        <a:xfrm flipV="1">
          <a:off x="4248150" y="6400800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32</xdr:row>
      <xdr:rowOff>0</xdr:rowOff>
    </xdr:from>
    <xdr:to>
      <xdr:col>3</xdr:col>
      <xdr:colOff>1362075</xdr:colOff>
      <xdr:row>32</xdr:row>
      <xdr:rowOff>9525</xdr:rowOff>
    </xdr:to>
    <xdr:sp macro="" textlink="">
      <xdr:nvSpPr>
        <xdr:cNvPr id="19521" name="Line 65">
          <a:extLst>
            <a:ext uri="{FF2B5EF4-FFF2-40B4-BE49-F238E27FC236}">
              <a16:creationId xmlns:a16="http://schemas.microsoft.com/office/drawing/2014/main" id="{00000000-0008-0000-0800-0000414C0000}"/>
            </a:ext>
          </a:extLst>
        </xdr:cNvPr>
        <xdr:cNvSpPr>
          <a:spLocks noChangeShapeType="1"/>
        </xdr:cNvSpPr>
      </xdr:nvSpPr>
      <xdr:spPr bwMode="auto">
        <a:xfrm flipV="1">
          <a:off x="2781300" y="6410325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32</xdr:row>
      <xdr:rowOff>0</xdr:rowOff>
    </xdr:from>
    <xdr:to>
      <xdr:col>5</xdr:col>
      <xdr:colOff>542925</xdr:colOff>
      <xdr:row>35</xdr:row>
      <xdr:rowOff>9525</xdr:rowOff>
    </xdr:to>
    <xdr:sp macro="" textlink="">
      <xdr:nvSpPr>
        <xdr:cNvPr id="19522" name="Line 66">
          <a:extLst>
            <a:ext uri="{FF2B5EF4-FFF2-40B4-BE49-F238E27FC236}">
              <a16:creationId xmlns:a16="http://schemas.microsoft.com/office/drawing/2014/main" id="{00000000-0008-0000-0800-0000424C0000}"/>
            </a:ext>
          </a:extLst>
        </xdr:cNvPr>
        <xdr:cNvSpPr>
          <a:spLocks noChangeShapeType="1"/>
        </xdr:cNvSpPr>
      </xdr:nvSpPr>
      <xdr:spPr bwMode="auto">
        <a:xfrm>
          <a:off x="5419725" y="6410325"/>
          <a:ext cx="9525" cy="676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19050</xdr:colOff>
      <xdr:row>35</xdr:row>
      <xdr:rowOff>9525</xdr:rowOff>
    </xdr:to>
    <xdr:sp macro="" textlink="">
      <xdr:nvSpPr>
        <xdr:cNvPr id="19523" name="Line 67">
          <a:extLst>
            <a:ext uri="{FF2B5EF4-FFF2-40B4-BE49-F238E27FC236}">
              <a16:creationId xmlns:a16="http://schemas.microsoft.com/office/drawing/2014/main" id="{00000000-0008-0000-0800-0000434C0000}"/>
            </a:ext>
          </a:extLst>
        </xdr:cNvPr>
        <xdr:cNvSpPr>
          <a:spLocks noChangeShapeType="1"/>
        </xdr:cNvSpPr>
      </xdr:nvSpPr>
      <xdr:spPr bwMode="auto">
        <a:xfrm>
          <a:off x="2771775" y="6429375"/>
          <a:ext cx="0" cy="657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35</xdr:row>
      <xdr:rowOff>0</xdr:rowOff>
    </xdr:from>
    <xdr:to>
      <xdr:col>5</xdr:col>
      <xdr:colOff>533400</xdr:colOff>
      <xdr:row>35</xdr:row>
      <xdr:rowOff>0</xdr:rowOff>
    </xdr:to>
    <xdr:sp macro="" textlink="">
      <xdr:nvSpPr>
        <xdr:cNvPr id="19524" name="Line 68">
          <a:extLst>
            <a:ext uri="{FF2B5EF4-FFF2-40B4-BE49-F238E27FC236}">
              <a16:creationId xmlns:a16="http://schemas.microsoft.com/office/drawing/2014/main" id="{00000000-0008-0000-0800-0000444C0000}"/>
            </a:ext>
          </a:extLst>
        </xdr:cNvPr>
        <xdr:cNvSpPr>
          <a:spLocks noChangeShapeType="1"/>
        </xdr:cNvSpPr>
      </xdr:nvSpPr>
      <xdr:spPr bwMode="auto">
        <a:xfrm flipV="1">
          <a:off x="4543425" y="7077075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35</xdr:row>
      <xdr:rowOff>133350</xdr:rowOff>
    </xdr:from>
    <xdr:to>
      <xdr:col>4</xdr:col>
      <xdr:colOff>400050</xdr:colOff>
      <xdr:row>35</xdr:row>
      <xdr:rowOff>133350</xdr:rowOff>
    </xdr:to>
    <xdr:sp macro="" textlink="">
      <xdr:nvSpPr>
        <xdr:cNvPr id="19525" name="Line 69">
          <a:extLst>
            <a:ext uri="{FF2B5EF4-FFF2-40B4-BE49-F238E27FC236}">
              <a16:creationId xmlns:a16="http://schemas.microsoft.com/office/drawing/2014/main" id="{00000000-0008-0000-0800-0000454C0000}"/>
            </a:ext>
          </a:extLst>
        </xdr:cNvPr>
        <xdr:cNvSpPr>
          <a:spLocks noChangeShapeType="1"/>
        </xdr:cNvSpPr>
      </xdr:nvSpPr>
      <xdr:spPr bwMode="auto">
        <a:xfrm>
          <a:off x="4000500" y="7210425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28</xdr:row>
      <xdr:rowOff>114300</xdr:rowOff>
    </xdr:from>
    <xdr:to>
      <xdr:col>3</xdr:col>
      <xdr:colOff>838200</xdr:colOff>
      <xdr:row>29</xdr:row>
      <xdr:rowOff>76200</xdr:rowOff>
    </xdr:to>
    <xdr:sp macro="" textlink="">
      <xdr:nvSpPr>
        <xdr:cNvPr id="19526" name="Rectangle 70">
          <a:extLst>
            <a:ext uri="{FF2B5EF4-FFF2-40B4-BE49-F238E27FC236}">
              <a16:creationId xmlns:a16="http://schemas.microsoft.com/office/drawing/2014/main" id="{00000000-0008-0000-0800-0000464C0000}"/>
            </a:ext>
          </a:extLst>
        </xdr:cNvPr>
        <xdr:cNvSpPr>
          <a:spLocks noChangeArrowheads="1"/>
        </xdr:cNvSpPr>
      </xdr:nvSpPr>
      <xdr:spPr bwMode="auto">
        <a:xfrm>
          <a:off x="3057525" y="572452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29</xdr:row>
      <xdr:rowOff>0</xdr:rowOff>
    </xdr:from>
    <xdr:to>
      <xdr:col>3</xdr:col>
      <xdr:colOff>1285875</xdr:colOff>
      <xdr:row>29</xdr:row>
      <xdr:rowOff>0</xdr:rowOff>
    </xdr:to>
    <xdr:sp macro="" textlink="">
      <xdr:nvSpPr>
        <xdr:cNvPr id="19527" name="Line 71">
          <a:extLst>
            <a:ext uri="{FF2B5EF4-FFF2-40B4-BE49-F238E27FC236}">
              <a16:creationId xmlns:a16="http://schemas.microsoft.com/office/drawing/2014/main" id="{00000000-0008-0000-0800-0000474C0000}"/>
            </a:ext>
          </a:extLst>
        </xdr:cNvPr>
        <xdr:cNvSpPr>
          <a:spLocks noChangeShapeType="1"/>
        </xdr:cNvSpPr>
      </xdr:nvSpPr>
      <xdr:spPr bwMode="auto">
        <a:xfrm>
          <a:off x="3609975" y="581025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28</xdr:row>
      <xdr:rowOff>180975</xdr:rowOff>
    </xdr:from>
    <xdr:to>
      <xdr:col>5</xdr:col>
      <xdr:colOff>514350</xdr:colOff>
      <xdr:row>28</xdr:row>
      <xdr:rowOff>190500</xdr:rowOff>
    </xdr:to>
    <xdr:sp macro="" textlink="">
      <xdr:nvSpPr>
        <xdr:cNvPr id="19528" name="Line 72">
          <a:extLst>
            <a:ext uri="{FF2B5EF4-FFF2-40B4-BE49-F238E27FC236}">
              <a16:creationId xmlns:a16="http://schemas.microsoft.com/office/drawing/2014/main" id="{00000000-0008-0000-0800-0000484C0000}"/>
            </a:ext>
          </a:extLst>
        </xdr:cNvPr>
        <xdr:cNvSpPr>
          <a:spLocks noChangeShapeType="1"/>
        </xdr:cNvSpPr>
      </xdr:nvSpPr>
      <xdr:spPr bwMode="auto">
        <a:xfrm>
          <a:off x="4648200" y="5791200"/>
          <a:ext cx="752475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28</xdr:row>
      <xdr:rowOff>171450</xdr:rowOff>
    </xdr:from>
    <xdr:to>
      <xdr:col>5</xdr:col>
      <xdr:colOff>533400</xdr:colOff>
      <xdr:row>32</xdr:row>
      <xdr:rowOff>0</xdr:rowOff>
    </xdr:to>
    <xdr:sp macro="" textlink="">
      <xdr:nvSpPr>
        <xdr:cNvPr id="19529" name="Line 73">
          <a:extLst>
            <a:ext uri="{FF2B5EF4-FFF2-40B4-BE49-F238E27FC236}">
              <a16:creationId xmlns:a16="http://schemas.microsoft.com/office/drawing/2014/main" id="{00000000-0008-0000-0800-0000494C0000}"/>
            </a:ext>
          </a:extLst>
        </xdr:cNvPr>
        <xdr:cNvSpPr>
          <a:spLocks noChangeShapeType="1"/>
        </xdr:cNvSpPr>
      </xdr:nvSpPr>
      <xdr:spPr bwMode="auto">
        <a:xfrm>
          <a:off x="5410200" y="5781675"/>
          <a:ext cx="9525" cy="628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190500</xdr:rowOff>
    </xdr:from>
    <xdr:to>
      <xdr:col>3</xdr:col>
      <xdr:colOff>9525</xdr:colOff>
      <xdr:row>32</xdr:row>
      <xdr:rowOff>19050</xdr:rowOff>
    </xdr:to>
    <xdr:sp macro="" textlink="">
      <xdr:nvSpPr>
        <xdr:cNvPr id="19530" name="Line 74">
          <a:extLst>
            <a:ext uri="{FF2B5EF4-FFF2-40B4-BE49-F238E27FC236}">
              <a16:creationId xmlns:a16="http://schemas.microsoft.com/office/drawing/2014/main" id="{00000000-0008-0000-0800-00004A4C0000}"/>
            </a:ext>
          </a:extLst>
        </xdr:cNvPr>
        <xdr:cNvSpPr>
          <a:spLocks noChangeShapeType="1"/>
        </xdr:cNvSpPr>
      </xdr:nvSpPr>
      <xdr:spPr bwMode="auto">
        <a:xfrm>
          <a:off x="2752725" y="5800725"/>
          <a:ext cx="9525" cy="628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28</xdr:row>
      <xdr:rowOff>190500</xdr:rowOff>
    </xdr:from>
    <xdr:to>
      <xdr:col>3</xdr:col>
      <xdr:colOff>295275</xdr:colOff>
      <xdr:row>29</xdr:row>
      <xdr:rowOff>0</xdr:rowOff>
    </xdr:to>
    <xdr:sp macro="" textlink="">
      <xdr:nvSpPr>
        <xdr:cNvPr id="19531" name="Line 75">
          <a:extLst>
            <a:ext uri="{FF2B5EF4-FFF2-40B4-BE49-F238E27FC236}">
              <a16:creationId xmlns:a16="http://schemas.microsoft.com/office/drawing/2014/main" id="{00000000-0008-0000-0800-00004B4C0000}"/>
            </a:ext>
          </a:extLst>
        </xdr:cNvPr>
        <xdr:cNvSpPr>
          <a:spLocks noChangeShapeType="1"/>
        </xdr:cNvSpPr>
      </xdr:nvSpPr>
      <xdr:spPr bwMode="auto">
        <a:xfrm flipV="1">
          <a:off x="2743200" y="5800725"/>
          <a:ext cx="3048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28</xdr:row>
      <xdr:rowOff>66675</xdr:rowOff>
    </xdr:from>
    <xdr:to>
      <xdr:col>4</xdr:col>
      <xdr:colOff>219075</xdr:colOff>
      <xdr:row>28</xdr:row>
      <xdr:rowOff>171450</xdr:rowOff>
    </xdr:to>
    <xdr:sp macro="" textlink="">
      <xdr:nvSpPr>
        <xdr:cNvPr id="19532" name="Line 76">
          <a:extLst>
            <a:ext uri="{FF2B5EF4-FFF2-40B4-BE49-F238E27FC236}">
              <a16:creationId xmlns:a16="http://schemas.microsoft.com/office/drawing/2014/main" id="{00000000-0008-0000-0800-00004C4C0000}"/>
            </a:ext>
          </a:extLst>
        </xdr:cNvPr>
        <xdr:cNvSpPr>
          <a:spLocks noChangeShapeType="1"/>
        </xdr:cNvSpPr>
      </xdr:nvSpPr>
      <xdr:spPr bwMode="auto">
        <a:xfrm flipV="1">
          <a:off x="4152900" y="5676900"/>
          <a:ext cx="190500" cy="10477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28</xdr:row>
      <xdr:rowOff>161925</xdr:rowOff>
    </xdr:from>
    <xdr:to>
      <xdr:col>4</xdr:col>
      <xdr:colOff>447675</xdr:colOff>
      <xdr:row>29</xdr:row>
      <xdr:rowOff>123825</xdr:rowOff>
    </xdr:to>
    <xdr:sp macro="" textlink="">
      <xdr:nvSpPr>
        <xdr:cNvPr id="19533" name="Line 77">
          <a:extLst>
            <a:ext uri="{FF2B5EF4-FFF2-40B4-BE49-F238E27FC236}">
              <a16:creationId xmlns:a16="http://schemas.microsoft.com/office/drawing/2014/main" id="{00000000-0008-0000-0800-00004D4C0000}"/>
            </a:ext>
          </a:extLst>
        </xdr:cNvPr>
        <xdr:cNvSpPr>
          <a:spLocks noChangeShapeType="1"/>
        </xdr:cNvSpPr>
      </xdr:nvSpPr>
      <xdr:spPr bwMode="auto">
        <a:xfrm flipV="1">
          <a:off x="4324350" y="5772150"/>
          <a:ext cx="247650" cy="1619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28</xdr:row>
      <xdr:rowOff>66675</xdr:rowOff>
    </xdr:from>
    <xdr:to>
      <xdr:col>4</xdr:col>
      <xdr:colOff>200025</xdr:colOff>
      <xdr:row>29</xdr:row>
      <xdr:rowOff>142875</xdr:rowOff>
    </xdr:to>
    <xdr:sp macro="" textlink="">
      <xdr:nvSpPr>
        <xdr:cNvPr id="19534" name="Line 78">
          <a:extLst>
            <a:ext uri="{FF2B5EF4-FFF2-40B4-BE49-F238E27FC236}">
              <a16:creationId xmlns:a16="http://schemas.microsoft.com/office/drawing/2014/main" id="{00000000-0008-0000-0800-00004E4C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5676900"/>
          <a:ext cx="0" cy="2762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94</xdr:row>
      <xdr:rowOff>57150</xdr:rowOff>
    </xdr:from>
    <xdr:to>
      <xdr:col>5</xdr:col>
      <xdr:colOff>533400</xdr:colOff>
      <xdr:row>94</xdr:row>
      <xdr:rowOff>133350</xdr:rowOff>
    </xdr:to>
    <xdr:sp macro="" textlink="">
      <xdr:nvSpPr>
        <xdr:cNvPr id="19535" name="Oval 79">
          <a:extLst>
            <a:ext uri="{FF2B5EF4-FFF2-40B4-BE49-F238E27FC236}">
              <a16:creationId xmlns:a16="http://schemas.microsoft.com/office/drawing/2014/main" id="{00000000-0008-0000-0800-00004F4C0000}"/>
            </a:ext>
          </a:extLst>
        </xdr:cNvPr>
        <xdr:cNvSpPr>
          <a:spLocks noChangeArrowheads="1"/>
        </xdr:cNvSpPr>
      </xdr:nvSpPr>
      <xdr:spPr bwMode="auto">
        <a:xfrm>
          <a:off x="5324475" y="17345025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99</xdr:row>
      <xdr:rowOff>123825</xdr:rowOff>
    </xdr:from>
    <xdr:to>
      <xdr:col>0</xdr:col>
      <xdr:colOff>619125</xdr:colOff>
      <xdr:row>100</xdr:row>
      <xdr:rowOff>28575</xdr:rowOff>
    </xdr:to>
    <xdr:sp macro="" textlink="">
      <xdr:nvSpPr>
        <xdr:cNvPr id="19536" name="Oval 80">
          <a:extLst>
            <a:ext uri="{FF2B5EF4-FFF2-40B4-BE49-F238E27FC236}">
              <a16:creationId xmlns:a16="http://schemas.microsoft.com/office/drawing/2014/main" id="{00000000-0008-0000-0800-0000504C0000}"/>
            </a:ext>
          </a:extLst>
        </xdr:cNvPr>
        <xdr:cNvSpPr>
          <a:spLocks noChangeArrowheads="1"/>
        </xdr:cNvSpPr>
      </xdr:nvSpPr>
      <xdr:spPr bwMode="auto">
        <a:xfrm>
          <a:off x="542925" y="182975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94</xdr:row>
      <xdr:rowOff>38100</xdr:rowOff>
    </xdr:from>
    <xdr:to>
      <xdr:col>0</xdr:col>
      <xdr:colOff>676275</xdr:colOff>
      <xdr:row>94</xdr:row>
      <xdr:rowOff>123825</xdr:rowOff>
    </xdr:to>
    <xdr:sp macro="" textlink="">
      <xdr:nvSpPr>
        <xdr:cNvPr id="19537" name="Oval 81">
          <a:extLst>
            <a:ext uri="{FF2B5EF4-FFF2-40B4-BE49-F238E27FC236}">
              <a16:creationId xmlns:a16="http://schemas.microsoft.com/office/drawing/2014/main" id="{00000000-0008-0000-0800-0000514C0000}"/>
            </a:ext>
          </a:extLst>
        </xdr:cNvPr>
        <xdr:cNvSpPr>
          <a:spLocks noChangeArrowheads="1"/>
        </xdr:cNvSpPr>
      </xdr:nvSpPr>
      <xdr:spPr bwMode="auto">
        <a:xfrm>
          <a:off x="600075" y="1732597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94</xdr:row>
      <xdr:rowOff>57150</xdr:rowOff>
    </xdr:from>
    <xdr:to>
      <xdr:col>6</xdr:col>
      <xdr:colOff>66675</xdr:colOff>
      <xdr:row>94</xdr:row>
      <xdr:rowOff>133350</xdr:rowOff>
    </xdr:to>
    <xdr:sp macro="" textlink="">
      <xdr:nvSpPr>
        <xdr:cNvPr id="19538" name="Oval 82">
          <a:extLst>
            <a:ext uri="{FF2B5EF4-FFF2-40B4-BE49-F238E27FC236}">
              <a16:creationId xmlns:a16="http://schemas.microsoft.com/office/drawing/2014/main" id="{00000000-0008-0000-0800-0000524C0000}"/>
            </a:ext>
          </a:extLst>
        </xdr:cNvPr>
        <xdr:cNvSpPr>
          <a:spLocks noChangeArrowheads="1"/>
        </xdr:cNvSpPr>
      </xdr:nvSpPr>
      <xdr:spPr bwMode="auto">
        <a:xfrm>
          <a:off x="5638800" y="173450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93</xdr:row>
      <xdr:rowOff>171450</xdr:rowOff>
    </xdr:from>
    <xdr:to>
      <xdr:col>4</xdr:col>
      <xdr:colOff>400050</xdr:colOff>
      <xdr:row>95</xdr:row>
      <xdr:rowOff>0</xdr:rowOff>
    </xdr:to>
    <xdr:sp macro="" textlink="">
      <xdr:nvSpPr>
        <xdr:cNvPr id="19539" name="Rectangle 83">
          <a:extLst>
            <a:ext uri="{FF2B5EF4-FFF2-40B4-BE49-F238E27FC236}">
              <a16:creationId xmlns:a16="http://schemas.microsoft.com/office/drawing/2014/main" id="{00000000-0008-0000-0800-0000534C0000}"/>
            </a:ext>
          </a:extLst>
        </xdr:cNvPr>
        <xdr:cNvSpPr>
          <a:spLocks noChangeArrowheads="1"/>
        </xdr:cNvSpPr>
      </xdr:nvSpPr>
      <xdr:spPr bwMode="auto">
        <a:xfrm>
          <a:off x="3971925" y="17287875"/>
          <a:ext cx="552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93</xdr:row>
      <xdr:rowOff>190500</xdr:rowOff>
    </xdr:from>
    <xdr:to>
      <xdr:col>3</xdr:col>
      <xdr:colOff>809625</xdr:colOff>
      <xdr:row>94</xdr:row>
      <xdr:rowOff>152400</xdr:rowOff>
    </xdr:to>
    <xdr:sp macro="" textlink="">
      <xdr:nvSpPr>
        <xdr:cNvPr id="19540" name="Rectangle 84">
          <a:extLst>
            <a:ext uri="{FF2B5EF4-FFF2-40B4-BE49-F238E27FC236}">
              <a16:creationId xmlns:a16="http://schemas.microsoft.com/office/drawing/2014/main" id="{00000000-0008-0000-0800-0000544C0000}"/>
            </a:ext>
          </a:extLst>
        </xdr:cNvPr>
        <xdr:cNvSpPr>
          <a:spLocks noChangeArrowheads="1"/>
        </xdr:cNvSpPr>
      </xdr:nvSpPr>
      <xdr:spPr bwMode="auto">
        <a:xfrm>
          <a:off x="3028950" y="17287875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97</xdr:row>
      <xdr:rowOff>28575</xdr:rowOff>
    </xdr:from>
    <xdr:to>
      <xdr:col>5</xdr:col>
      <xdr:colOff>342900</xdr:colOff>
      <xdr:row>97</xdr:row>
      <xdr:rowOff>28575</xdr:rowOff>
    </xdr:to>
    <xdr:sp macro="" textlink="">
      <xdr:nvSpPr>
        <xdr:cNvPr id="19541" name="Line 85">
          <a:extLst>
            <a:ext uri="{FF2B5EF4-FFF2-40B4-BE49-F238E27FC236}">
              <a16:creationId xmlns:a16="http://schemas.microsoft.com/office/drawing/2014/main" id="{00000000-0008-0000-0800-0000554C0000}"/>
            </a:ext>
          </a:extLst>
        </xdr:cNvPr>
        <xdr:cNvSpPr>
          <a:spLocks noChangeShapeType="1"/>
        </xdr:cNvSpPr>
      </xdr:nvSpPr>
      <xdr:spPr bwMode="auto">
        <a:xfrm>
          <a:off x="4752975" y="178403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97</xdr:row>
      <xdr:rowOff>133350</xdr:rowOff>
    </xdr:from>
    <xdr:to>
      <xdr:col>5</xdr:col>
      <xdr:colOff>342900</xdr:colOff>
      <xdr:row>97</xdr:row>
      <xdr:rowOff>133350</xdr:rowOff>
    </xdr:to>
    <xdr:sp macro="" textlink="">
      <xdr:nvSpPr>
        <xdr:cNvPr id="19542" name="Line 86">
          <a:extLst>
            <a:ext uri="{FF2B5EF4-FFF2-40B4-BE49-F238E27FC236}">
              <a16:creationId xmlns:a16="http://schemas.microsoft.com/office/drawing/2014/main" id="{00000000-0008-0000-0800-0000564C0000}"/>
            </a:ext>
          </a:extLst>
        </xdr:cNvPr>
        <xdr:cNvSpPr>
          <a:spLocks noChangeShapeType="1"/>
        </xdr:cNvSpPr>
      </xdr:nvSpPr>
      <xdr:spPr bwMode="auto">
        <a:xfrm>
          <a:off x="4752975" y="1794510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94</xdr:row>
      <xdr:rowOff>104775</xdr:rowOff>
    </xdr:from>
    <xdr:to>
      <xdr:col>5</xdr:col>
      <xdr:colOff>466725</xdr:colOff>
      <xdr:row>94</xdr:row>
      <xdr:rowOff>104775</xdr:rowOff>
    </xdr:to>
    <xdr:sp macro="" textlink="">
      <xdr:nvSpPr>
        <xdr:cNvPr id="19543" name="Line 87">
          <a:extLst>
            <a:ext uri="{FF2B5EF4-FFF2-40B4-BE49-F238E27FC236}">
              <a16:creationId xmlns:a16="http://schemas.microsoft.com/office/drawing/2014/main" id="{00000000-0008-0000-0800-0000574C0000}"/>
            </a:ext>
          </a:extLst>
        </xdr:cNvPr>
        <xdr:cNvSpPr>
          <a:spLocks noChangeShapeType="1"/>
        </xdr:cNvSpPr>
      </xdr:nvSpPr>
      <xdr:spPr bwMode="auto">
        <a:xfrm>
          <a:off x="4972050" y="17392650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94</xdr:row>
      <xdr:rowOff>85725</xdr:rowOff>
    </xdr:from>
    <xdr:to>
      <xdr:col>3</xdr:col>
      <xdr:colOff>285750</xdr:colOff>
      <xdr:row>94</xdr:row>
      <xdr:rowOff>85725</xdr:rowOff>
    </xdr:to>
    <xdr:sp macro="" textlink="">
      <xdr:nvSpPr>
        <xdr:cNvPr id="19544" name="Line 88">
          <a:extLst>
            <a:ext uri="{FF2B5EF4-FFF2-40B4-BE49-F238E27FC236}">
              <a16:creationId xmlns:a16="http://schemas.microsoft.com/office/drawing/2014/main" id="{00000000-0008-0000-0800-0000584C0000}"/>
            </a:ext>
          </a:extLst>
        </xdr:cNvPr>
        <xdr:cNvSpPr>
          <a:spLocks noChangeShapeType="1"/>
        </xdr:cNvSpPr>
      </xdr:nvSpPr>
      <xdr:spPr bwMode="auto">
        <a:xfrm flipV="1">
          <a:off x="695325" y="17373600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94</xdr:row>
      <xdr:rowOff>76200</xdr:rowOff>
    </xdr:from>
    <xdr:to>
      <xdr:col>3</xdr:col>
      <xdr:colOff>1238250</xdr:colOff>
      <xdr:row>94</xdr:row>
      <xdr:rowOff>76200</xdr:rowOff>
    </xdr:to>
    <xdr:sp macro="" textlink="">
      <xdr:nvSpPr>
        <xdr:cNvPr id="19545" name="Line 89">
          <a:extLst>
            <a:ext uri="{FF2B5EF4-FFF2-40B4-BE49-F238E27FC236}">
              <a16:creationId xmlns:a16="http://schemas.microsoft.com/office/drawing/2014/main" id="{00000000-0008-0000-0800-0000594C0000}"/>
            </a:ext>
          </a:extLst>
        </xdr:cNvPr>
        <xdr:cNvSpPr>
          <a:spLocks noChangeShapeType="1"/>
        </xdr:cNvSpPr>
      </xdr:nvSpPr>
      <xdr:spPr bwMode="auto">
        <a:xfrm>
          <a:off x="3562350" y="173640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94</xdr:row>
      <xdr:rowOff>104775</xdr:rowOff>
    </xdr:from>
    <xdr:to>
      <xdr:col>5</xdr:col>
      <xdr:colOff>38100</xdr:colOff>
      <xdr:row>94</xdr:row>
      <xdr:rowOff>104775</xdr:rowOff>
    </xdr:to>
    <xdr:sp macro="" textlink="">
      <xdr:nvSpPr>
        <xdr:cNvPr id="19546" name="Line 90">
          <a:extLst>
            <a:ext uri="{FF2B5EF4-FFF2-40B4-BE49-F238E27FC236}">
              <a16:creationId xmlns:a16="http://schemas.microsoft.com/office/drawing/2014/main" id="{00000000-0008-0000-0800-00005A4C0000}"/>
            </a:ext>
          </a:extLst>
        </xdr:cNvPr>
        <xdr:cNvSpPr>
          <a:spLocks noChangeShapeType="1"/>
        </xdr:cNvSpPr>
      </xdr:nvSpPr>
      <xdr:spPr bwMode="auto">
        <a:xfrm>
          <a:off x="4505325" y="17392650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99</xdr:row>
      <xdr:rowOff>171450</xdr:rowOff>
    </xdr:from>
    <xdr:to>
      <xdr:col>5</xdr:col>
      <xdr:colOff>85725</xdr:colOff>
      <xdr:row>99</xdr:row>
      <xdr:rowOff>171450</xdr:rowOff>
    </xdr:to>
    <xdr:sp macro="" textlink="">
      <xdr:nvSpPr>
        <xdr:cNvPr id="19547" name="Line 91">
          <a:extLst>
            <a:ext uri="{FF2B5EF4-FFF2-40B4-BE49-F238E27FC236}">
              <a16:creationId xmlns:a16="http://schemas.microsoft.com/office/drawing/2014/main" id="{00000000-0008-0000-0800-00005B4C0000}"/>
            </a:ext>
          </a:extLst>
        </xdr:cNvPr>
        <xdr:cNvSpPr>
          <a:spLocks noChangeShapeType="1"/>
        </xdr:cNvSpPr>
      </xdr:nvSpPr>
      <xdr:spPr bwMode="auto">
        <a:xfrm>
          <a:off x="638175" y="18335625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94</xdr:row>
      <xdr:rowOff>95250</xdr:rowOff>
    </xdr:from>
    <xdr:to>
      <xdr:col>5</xdr:col>
      <xdr:colOff>95250</xdr:colOff>
      <xdr:row>97</xdr:row>
      <xdr:rowOff>28575</xdr:rowOff>
    </xdr:to>
    <xdr:sp macro="" textlink="">
      <xdr:nvSpPr>
        <xdr:cNvPr id="19548" name="Line 92">
          <a:extLst>
            <a:ext uri="{FF2B5EF4-FFF2-40B4-BE49-F238E27FC236}">
              <a16:creationId xmlns:a16="http://schemas.microsoft.com/office/drawing/2014/main" id="{00000000-0008-0000-0800-00005C4C0000}"/>
            </a:ext>
          </a:extLst>
        </xdr:cNvPr>
        <xdr:cNvSpPr>
          <a:spLocks noChangeShapeType="1"/>
        </xdr:cNvSpPr>
      </xdr:nvSpPr>
      <xdr:spPr bwMode="auto">
        <a:xfrm>
          <a:off x="4981575" y="17383125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97</xdr:row>
      <xdr:rowOff>133350</xdr:rowOff>
    </xdr:from>
    <xdr:to>
      <xdr:col>5</xdr:col>
      <xdr:colOff>104775</xdr:colOff>
      <xdr:row>99</xdr:row>
      <xdr:rowOff>171450</xdr:rowOff>
    </xdr:to>
    <xdr:sp macro="" textlink="">
      <xdr:nvSpPr>
        <xdr:cNvPr id="19549" name="Line 93">
          <a:extLst>
            <a:ext uri="{FF2B5EF4-FFF2-40B4-BE49-F238E27FC236}">
              <a16:creationId xmlns:a16="http://schemas.microsoft.com/office/drawing/2014/main" id="{00000000-0008-0000-0800-00005D4C0000}"/>
            </a:ext>
          </a:extLst>
        </xdr:cNvPr>
        <xdr:cNvSpPr>
          <a:spLocks noChangeShapeType="1"/>
        </xdr:cNvSpPr>
      </xdr:nvSpPr>
      <xdr:spPr bwMode="auto">
        <a:xfrm flipV="1">
          <a:off x="4991100" y="17945100"/>
          <a:ext cx="0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99</xdr:row>
      <xdr:rowOff>171450</xdr:rowOff>
    </xdr:from>
    <xdr:to>
      <xdr:col>1</xdr:col>
      <xdr:colOff>619125</xdr:colOff>
      <xdr:row>99</xdr:row>
      <xdr:rowOff>171450</xdr:rowOff>
    </xdr:to>
    <xdr:sp macro="" textlink="">
      <xdr:nvSpPr>
        <xdr:cNvPr id="19550" name="Line 94">
          <a:extLst>
            <a:ext uri="{FF2B5EF4-FFF2-40B4-BE49-F238E27FC236}">
              <a16:creationId xmlns:a16="http://schemas.microsoft.com/office/drawing/2014/main" id="{00000000-0008-0000-0800-00005E4C0000}"/>
            </a:ext>
          </a:extLst>
        </xdr:cNvPr>
        <xdr:cNvSpPr>
          <a:spLocks noChangeShapeType="1"/>
        </xdr:cNvSpPr>
      </xdr:nvSpPr>
      <xdr:spPr bwMode="auto">
        <a:xfrm flipH="1">
          <a:off x="2038350" y="18335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96</xdr:row>
      <xdr:rowOff>0</xdr:rowOff>
    </xdr:from>
    <xdr:ext cx="76200" cy="200025"/>
    <xdr:sp macro="" textlink="">
      <xdr:nvSpPr>
        <xdr:cNvPr id="19551" name="Text Box 95">
          <a:extLst>
            <a:ext uri="{FF2B5EF4-FFF2-40B4-BE49-F238E27FC236}">
              <a16:creationId xmlns:a16="http://schemas.microsoft.com/office/drawing/2014/main" id="{00000000-0008-0000-0800-00005F4C0000}"/>
            </a:ext>
          </a:extLst>
        </xdr:cNvPr>
        <xdr:cNvSpPr txBox="1">
          <a:spLocks noChangeArrowheads="1"/>
        </xdr:cNvSpPr>
      </xdr:nvSpPr>
      <xdr:spPr bwMode="auto">
        <a:xfrm>
          <a:off x="1819275" y="1761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98</xdr:row>
      <xdr:rowOff>28575</xdr:rowOff>
    </xdr:from>
    <xdr:to>
      <xdr:col>1</xdr:col>
      <xdr:colOff>542925</xdr:colOff>
      <xdr:row>99</xdr:row>
      <xdr:rowOff>95250</xdr:rowOff>
    </xdr:to>
    <xdr:sp macro="" textlink="">
      <xdr:nvSpPr>
        <xdr:cNvPr id="19552" name="Text Box 96">
          <a:extLst>
            <a:ext uri="{FF2B5EF4-FFF2-40B4-BE49-F238E27FC236}">
              <a16:creationId xmlns:a16="http://schemas.microsoft.com/office/drawing/2014/main" id="{00000000-0008-0000-0800-0000604C0000}"/>
            </a:ext>
          </a:extLst>
        </xdr:cNvPr>
        <xdr:cNvSpPr txBox="1">
          <a:spLocks noChangeArrowheads="1"/>
        </xdr:cNvSpPr>
      </xdr:nvSpPr>
      <xdr:spPr bwMode="auto">
        <a:xfrm>
          <a:off x="2114550" y="18040350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94</xdr:row>
      <xdr:rowOff>95250</xdr:rowOff>
    </xdr:from>
    <xdr:to>
      <xdr:col>6</xdr:col>
      <xdr:colOff>523875</xdr:colOff>
      <xdr:row>94</xdr:row>
      <xdr:rowOff>104775</xdr:rowOff>
    </xdr:to>
    <xdr:sp macro="" textlink="">
      <xdr:nvSpPr>
        <xdr:cNvPr id="19553" name="Line 97">
          <a:extLst>
            <a:ext uri="{FF2B5EF4-FFF2-40B4-BE49-F238E27FC236}">
              <a16:creationId xmlns:a16="http://schemas.microsoft.com/office/drawing/2014/main" id="{00000000-0008-0000-0800-0000614C0000}"/>
            </a:ext>
          </a:extLst>
        </xdr:cNvPr>
        <xdr:cNvSpPr>
          <a:spLocks noChangeShapeType="1"/>
        </xdr:cNvSpPr>
      </xdr:nvSpPr>
      <xdr:spPr bwMode="auto">
        <a:xfrm flipV="1">
          <a:off x="5715000" y="17383125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94</xdr:row>
      <xdr:rowOff>104775</xdr:rowOff>
    </xdr:from>
    <xdr:to>
      <xdr:col>6</xdr:col>
      <xdr:colOff>514350</xdr:colOff>
      <xdr:row>99</xdr:row>
      <xdr:rowOff>161925</xdr:rowOff>
    </xdr:to>
    <xdr:sp macro="" textlink="">
      <xdr:nvSpPr>
        <xdr:cNvPr id="19554" name="Line 98">
          <a:extLst>
            <a:ext uri="{FF2B5EF4-FFF2-40B4-BE49-F238E27FC236}">
              <a16:creationId xmlns:a16="http://schemas.microsoft.com/office/drawing/2014/main" id="{00000000-0008-0000-0800-0000624C0000}"/>
            </a:ext>
          </a:extLst>
        </xdr:cNvPr>
        <xdr:cNvSpPr>
          <a:spLocks noChangeShapeType="1"/>
        </xdr:cNvSpPr>
      </xdr:nvSpPr>
      <xdr:spPr bwMode="auto">
        <a:xfrm>
          <a:off x="6162675" y="17392650"/>
          <a:ext cx="0" cy="9429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99</xdr:row>
      <xdr:rowOff>142875</xdr:rowOff>
    </xdr:from>
    <xdr:to>
      <xdr:col>3</xdr:col>
      <xdr:colOff>971550</xdr:colOff>
      <xdr:row>99</xdr:row>
      <xdr:rowOff>152400</xdr:rowOff>
    </xdr:to>
    <xdr:sp macro="" textlink="">
      <xdr:nvSpPr>
        <xdr:cNvPr id="19555" name="Line 99">
          <a:extLst>
            <a:ext uri="{FF2B5EF4-FFF2-40B4-BE49-F238E27FC236}">
              <a16:creationId xmlns:a16="http://schemas.microsoft.com/office/drawing/2014/main" id="{00000000-0008-0000-0800-0000634C0000}"/>
            </a:ext>
          </a:extLst>
        </xdr:cNvPr>
        <xdr:cNvSpPr>
          <a:spLocks noChangeShapeType="1"/>
        </xdr:cNvSpPr>
      </xdr:nvSpPr>
      <xdr:spPr bwMode="auto">
        <a:xfrm flipV="1">
          <a:off x="3714750" y="18316575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99</xdr:row>
      <xdr:rowOff>161925</xdr:rowOff>
    </xdr:from>
    <xdr:to>
      <xdr:col>6</xdr:col>
      <xdr:colOff>523875</xdr:colOff>
      <xdr:row>99</xdr:row>
      <xdr:rowOff>171450</xdr:rowOff>
    </xdr:to>
    <xdr:sp macro="" textlink="">
      <xdr:nvSpPr>
        <xdr:cNvPr id="19556" name="Line 100">
          <a:extLst>
            <a:ext uri="{FF2B5EF4-FFF2-40B4-BE49-F238E27FC236}">
              <a16:creationId xmlns:a16="http://schemas.microsoft.com/office/drawing/2014/main" id="{00000000-0008-0000-0800-0000644C0000}"/>
            </a:ext>
          </a:extLst>
        </xdr:cNvPr>
        <xdr:cNvSpPr>
          <a:spLocks noChangeShapeType="1"/>
        </xdr:cNvSpPr>
      </xdr:nvSpPr>
      <xdr:spPr bwMode="auto">
        <a:xfrm flipV="1">
          <a:off x="5000625" y="18335625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96</xdr:row>
      <xdr:rowOff>161925</xdr:rowOff>
    </xdr:from>
    <xdr:to>
      <xdr:col>0</xdr:col>
      <xdr:colOff>800100</xdr:colOff>
      <xdr:row>98</xdr:row>
      <xdr:rowOff>28575</xdr:rowOff>
    </xdr:to>
    <xdr:sp macro="" textlink="">
      <xdr:nvSpPr>
        <xdr:cNvPr id="19557" name="Text Box 101">
          <a:extLst>
            <a:ext uri="{FF2B5EF4-FFF2-40B4-BE49-F238E27FC236}">
              <a16:creationId xmlns:a16="http://schemas.microsoft.com/office/drawing/2014/main" id="{00000000-0008-0000-0800-0000654C0000}"/>
            </a:ext>
          </a:extLst>
        </xdr:cNvPr>
        <xdr:cNvSpPr txBox="1">
          <a:spLocks noChangeArrowheads="1"/>
        </xdr:cNvSpPr>
      </xdr:nvSpPr>
      <xdr:spPr bwMode="auto">
        <a:xfrm>
          <a:off x="514350" y="17773650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1209675</xdr:colOff>
      <xdr:row>92</xdr:row>
      <xdr:rowOff>76200</xdr:rowOff>
    </xdr:from>
    <xdr:to>
      <xdr:col>4</xdr:col>
      <xdr:colOff>390525</xdr:colOff>
      <xdr:row>93</xdr:row>
      <xdr:rowOff>85725</xdr:rowOff>
    </xdr:to>
    <xdr:sp macro="" textlink="">
      <xdr:nvSpPr>
        <xdr:cNvPr id="19558" name="Rectangle 102">
          <a:extLst>
            <a:ext uri="{FF2B5EF4-FFF2-40B4-BE49-F238E27FC236}">
              <a16:creationId xmlns:a16="http://schemas.microsoft.com/office/drawing/2014/main" id="{00000000-0008-0000-0800-0000664C0000}"/>
            </a:ext>
          </a:extLst>
        </xdr:cNvPr>
        <xdr:cNvSpPr>
          <a:spLocks noChangeArrowheads="1"/>
        </xdr:cNvSpPr>
      </xdr:nvSpPr>
      <xdr:spPr bwMode="auto">
        <a:xfrm>
          <a:off x="3962400" y="17040225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92</xdr:row>
      <xdr:rowOff>123825</xdr:rowOff>
    </xdr:from>
    <xdr:to>
      <xdr:col>3</xdr:col>
      <xdr:colOff>819150</xdr:colOff>
      <xdr:row>93</xdr:row>
      <xdr:rowOff>85725</xdr:rowOff>
    </xdr:to>
    <xdr:sp macro="" textlink="">
      <xdr:nvSpPr>
        <xdr:cNvPr id="19559" name="Rectangle 103">
          <a:extLst>
            <a:ext uri="{FF2B5EF4-FFF2-40B4-BE49-F238E27FC236}">
              <a16:creationId xmlns:a16="http://schemas.microsoft.com/office/drawing/2014/main" id="{00000000-0008-0000-0800-0000674C0000}"/>
            </a:ext>
          </a:extLst>
        </xdr:cNvPr>
        <xdr:cNvSpPr>
          <a:spLocks noChangeArrowheads="1"/>
        </xdr:cNvSpPr>
      </xdr:nvSpPr>
      <xdr:spPr bwMode="auto">
        <a:xfrm>
          <a:off x="3038475" y="17087850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93</xdr:row>
      <xdr:rowOff>0</xdr:rowOff>
    </xdr:from>
    <xdr:to>
      <xdr:col>3</xdr:col>
      <xdr:colOff>1257300</xdr:colOff>
      <xdr:row>93</xdr:row>
      <xdr:rowOff>0</xdr:rowOff>
    </xdr:to>
    <xdr:sp macro="" textlink="">
      <xdr:nvSpPr>
        <xdr:cNvPr id="19560" name="Line 104">
          <a:extLst>
            <a:ext uri="{FF2B5EF4-FFF2-40B4-BE49-F238E27FC236}">
              <a16:creationId xmlns:a16="http://schemas.microsoft.com/office/drawing/2014/main" id="{00000000-0008-0000-0800-0000684C0000}"/>
            </a:ext>
          </a:extLst>
        </xdr:cNvPr>
        <xdr:cNvSpPr>
          <a:spLocks noChangeShapeType="1"/>
        </xdr:cNvSpPr>
      </xdr:nvSpPr>
      <xdr:spPr bwMode="auto">
        <a:xfrm>
          <a:off x="3581400" y="1712595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93</xdr:row>
      <xdr:rowOff>9525</xdr:rowOff>
    </xdr:from>
    <xdr:to>
      <xdr:col>3</xdr:col>
      <xdr:colOff>276225</xdr:colOff>
      <xdr:row>93</xdr:row>
      <xdr:rowOff>9525</xdr:rowOff>
    </xdr:to>
    <xdr:sp macro="" textlink="">
      <xdr:nvSpPr>
        <xdr:cNvPr id="19561" name="Line 105">
          <a:extLst>
            <a:ext uri="{FF2B5EF4-FFF2-40B4-BE49-F238E27FC236}">
              <a16:creationId xmlns:a16="http://schemas.microsoft.com/office/drawing/2014/main" id="{00000000-0008-0000-0800-0000694C0000}"/>
            </a:ext>
          </a:extLst>
        </xdr:cNvPr>
        <xdr:cNvSpPr>
          <a:spLocks noChangeShapeType="1"/>
        </xdr:cNvSpPr>
      </xdr:nvSpPr>
      <xdr:spPr bwMode="auto">
        <a:xfrm>
          <a:off x="2771775" y="17135475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89</xdr:row>
      <xdr:rowOff>66675</xdr:rowOff>
    </xdr:from>
    <xdr:to>
      <xdr:col>4</xdr:col>
      <xdr:colOff>95250</xdr:colOff>
      <xdr:row>90</xdr:row>
      <xdr:rowOff>142875</xdr:rowOff>
    </xdr:to>
    <xdr:sp macro="" textlink="">
      <xdr:nvSpPr>
        <xdr:cNvPr id="19562" name="Line 106">
          <a:extLst>
            <a:ext uri="{FF2B5EF4-FFF2-40B4-BE49-F238E27FC236}">
              <a16:creationId xmlns:a16="http://schemas.microsoft.com/office/drawing/2014/main" id="{00000000-0008-0000-0800-00006A4C0000}"/>
            </a:ext>
          </a:extLst>
        </xdr:cNvPr>
        <xdr:cNvSpPr>
          <a:spLocks noChangeShapeType="1"/>
        </xdr:cNvSpPr>
      </xdr:nvSpPr>
      <xdr:spPr bwMode="auto">
        <a:xfrm>
          <a:off x="4219575" y="16506825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89</xdr:row>
      <xdr:rowOff>66675</xdr:rowOff>
    </xdr:from>
    <xdr:to>
      <xdr:col>4</xdr:col>
      <xdr:colOff>0</xdr:colOff>
      <xdr:row>90</xdr:row>
      <xdr:rowOff>142875</xdr:rowOff>
    </xdr:to>
    <xdr:sp macro="" textlink="">
      <xdr:nvSpPr>
        <xdr:cNvPr id="19563" name="Line 107">
          <a:extLst>
            <a:ext uri="{FF2B5EF4-FFF2-40B4-BE49-F238E27FC236}">
              <a16:creationId xmlns:a16="http://schemas.microsoft.com/office/drawing/2014/main" id="{00000000-0008-0000-0800-00006B4C0000}"/>
            </a:ext>
          </a:extLst>
        </xdr:cNvPr>
        <xdr:cNvSpPr>
          <a:spLocks noChangeShapeType="1"/>
        </xdr:cNvSpPr>
      </xdr:nvSpPr>
      <xdr:spPr bwMode="auto">
        <a:xfrm>
          <a:off x="4124325" y="16506825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89</xdr:row>
      <xdr:rowOff>190500</xdr:rowOff>
    </xdr:from>
    <xdr:to>
      <xdr:col>5</xdr:col>
      <xdr:colOff>542925</xdr:colOff>
      <xdr:row>90</xdr:row>
      <xdr:rowOff>0</xdr:rowOff>
    </xdr:to>
    <xdr:sp macro="" textlink="">
      <xdr:nvSpPr>
        <xdr:cNvPr id="19564" name="Line 108">
          <a:extLst>
            <a:ext uri="{FF2B5EF4-FFF2-40B4-BE49-F238E27FC236}">
              <a16:creationId xmlns:a16="http://schemas.microsoft.com/office/drawing/2014/main" id="{00000000-0008-0000-0800-00006C4C0000}"/>
            </a:ext>
          </a:extLst>
        </xdr:cNvPr>
        <xdr:cNvSpPr>
          <a:spLocks noChangeShapeType="1"/>
        </xdr:cNvSpPr>
      </xdr:nvSpPr>
      <xdr:spPr bwMode="auto">
        <a:xfrm flipV="1">
          <a:off x="4248150" y="16602075"/>
          <a:ext cx="1181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1362075</xdr:colOff>
      <xdr:row>90</xdr:row>
      <xdr:rowOff>9525</xdr:rowOff>
    </xdr:to>
    <xdr:sp macro="" textlink="">
      <xdr:nvSpPr>
        <xdr:cNvPr id="19565" name="Line 109">
          <a:extLst>
            <a:ext uri="{FF2B5EF4-FFF2-40B4-BE49-F238E27FC236}">
              <a16:creationId xmlns:a16="http://schemas.microsoft.com/office/drawing/2014/main" id="{00000000-0008-0000-0800-00006D4C0000}"/>
            </a:ext>
          </a:extLst>
        </xdr:cNvPr>
        <xdr:cNvSpPr>
          <a:spLocks noChangeShapeType="1"/>
        </xdr:cNvSpPr>
      </xdr:nvSpPr>
      <xdr:spPr bwMode="auto">
        <a:xfrm flipV="1">
          <a:off x="2781300" y="16602075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90</xdr:row>
      <xdr:rowOff>0</xdr:rowOff>
    </xdr:from>
    <xdr:to>
      <xdr:col>5</xdr:col>
      <xdr:colOff>542925</xdr:colOff>
      <xdr:row>93</xdr:row>
      <xdr:rowOff>9525</xdr:rowOff>
    </xdr:to>
    <xdr:sp macro="" textlink="">
      <xdr:nvSpPr>
        <xdr:cNvPr id="19566" name="Line 110">
          <a:extLst>
            <a:ext uri="{FF2B5EF4-FFF2-40B4-BE49-F238E27FC236}">
              <a16:creationId xmlns:a16="http://schemas.microsoft.com/office/drawing/2014/main" id="{00000000-0008-0000-0800-00006E4C0000}"/>
            </a:ext>
          </a:extLst>
        </xdr:cNvPr>
        <xdr:cNvSpPr>
          <a:spLocks noChangeShapeType="1"/>
        </xdr:cNvSpPr>
      </xdr:nvSpPr>
      <xdr:spPr bwMode="auto">
        <a:xfrm>
          <a:off x="5419725" y="16602075"/>
          <a:ext cx="9525" cy="533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19050</xdr:colOff>
      <xdr:row>93</xdr:row>
      <xdr:rowOff>9525</xdr:rowOff>
    </xdr:to>
    <xdr:sp macro="" textlink="">
      <xdr:nvSpPr>
        <xdr:cNvPr id="19567" name="Line 111">
          <a:extLst>
            <a:ext uri="{FF2B5EF4-FFF2-40B4-BE49-F238E27FC236}">
              <a16:creationId xmlns:a16="http://schemas.microsoft.com/office/drawing/2014/main" id="{00000000-0008-0000-0800-00006F4C0000}"/>
            </a:ext>
          </a:extLst>
        </xdr:cNvPr>
        <xdr:cNvSpPr>
          <a:spLocks noChangeShapeType="1"/>
        </xdr:cNvSpPr>
      </xdr:nvSpPr>
      <xdr:spPr bwMode="auto">
        <a:xfrm>
          <a:off x="2771775" y="16621125"/>
          <a:ext cx="0" cy="514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93</xdr:row>
      <xdr:rowOff>0</xdr:rowOff>
    </xdr:from>
    <xdr:to>
      <xdr:col>5</xdr:col>
      <xdr:colOff>533400</xdr:colOff>
      <xdr:row>93</xdr:row>
      <xdr:rowOff>0</xdr:rowOff>
    </xdr:to>
    <xdr:sp macro="" textlink="">
      <xdr:nvSpPr>
        <xdr:cNvPr id="19568" name="Line 112">
          <a:extLst>
            <a:ext uri="{FF2B5EF4-FFF2-40B4-BE49-F238E27FC236}">
              <a16:creationId xmlns:a16="http://schemas.microsoft.com/office/drawing/2014/main" id="{00000000-0008-0000-0800-0000704C0000}"/>
            </a:ext>
          </a:extLst>
        </xdr:cNvPr>
        <xdr:cNvSpPr>
          <a:spLocks noChangeShapeType="1"/>
        </xdr:cNvSpPr>
      </xdr:nvSpPr>
      <xdr:spPr bwMode="auto">
        <a:xfrm flipV="1">
          <a:off x="4543425" y="17125950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93</xdr:row>
      <xdr:rowOff>133350</xdr:rowOff>
    </xdr:from>
    <xdr:to>
      <xdr:col>4</xdr:col>
      <xdr:colOff>400050</xdr:colOff>
      <xdr:row>93</xdr:row>
      <xdr:rowOff>133350</xdr:rowOff>
    </xdr:to>
    <xdr:sp macro="" textlink="">
      <xdr:nvSpPr>
        <xdr:cNvPr id="19569" name="Line 113">
          <a:extLst>
            <a:ext uri="{FF2B5EF4-FFF2-40B4-BE49-F238E27FC236}">
              <a16:creationId xmlns:a16="http://schemas.microsoft.com/office/drawing/2014/main" id="{00000000-0008-0000-0800-0000714C0000}"/>
            </a:ext>
          </a:extLst>
        </xdr:cNvPr>
        <xdr:cNvSpPr>
          <a:spLocks noChangeShapeType="1"/>
        </xdr:cNvSpPr>
      </xdr:nvSpPr>
      <xdr:spPr bwMode="auto">
        <a:xfrm>
          <a:off x="4000500" y="17259300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86</xdr:row>
      <xdr:rowOff>114300</xdr:rowOff>
    </xdr:from>
    <xdr:to>
      <xdr:col>3</xdr:col>
      <xdr:colOff>838200</xdr:colOff>
      <xdr:row>87</xdr:row>
      <xdr:rowOff>76200</xdr:rowOff>
    </xdr:to>
    <xdr:sp macro="" textlink="">
      <xdr:nvSpPr>
        <xdr:cNvPr id="19570" name="Rectangle 114">
          <a:extLst>
            <a:ext uri="{FF2B5EF4-FFF2-40B4-BE49-F238E27FC236}">
              <a16:creationId xmlns:a16="http://schemas.microsoft.com/office/drawing/2014/main" id="{00000000-0008-0000-0800-0000724C0000}"/>
            </a:ext>
          </a:extLst>
        </xdr:cNvPr>
        <xdr:cNvSpPr>
          <a:spLocks noChangeArrowheads="1"/>
        </xdr:cNvSpPr>
      </xdr:nvSpPr>
      <xdr:spPr bwMode="auto">
        <a:xfrm>
          <a:off x="3057525" y="16030575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87</xdr:row>
      <xdr:rowOff>0</xdr:rowOff>
    </xdr:from>
    <xdr:to>
      <xdr:col>3</xdr:col>
      <xdr:colOff>1285875</xdr:colOff>
      <xdr:row>87</xdr:row>
      <xdr:rowOff>0</xdr:rowOff>
    </xdr:to>
    <xdr:sp macro="" textlink="">
      <xdr:nvSpPr>
        <xdr:cNvPr id="19571" name="Line 115">
          <a:extLst>
            <a:ext uri="{FF2B5EF4-FFF2-40B4-BE49-F238E27FC236}">
              <a16:creationId xmlns:a16="http://schemas.microsoft.com/office/drawing/2014/main" id="{00000000-0008-0000-0800-0000734C0000}"/>
            </a:ext>
          </a:extLst>
        </xdr:cNvPr>
        <xdr:cNvSpPr>
          <a:spLocks noChangeShapeType="1"/>
        </xdr:cNvSpPr>
      </xdr:nvSpPr>
      <xdr:spPr bwMode="auto">
        <a:xfrm>
          <a:off x="3609975" y="160782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86</xdr:row>
      <xdr:rowOff>180975</xdr:rowOff>
    </xdr:from>
    <xdr:to>
      <xdr:col>5</xdr:col>
      <xdr:colOff>514350</xdr:colOff>
      <xdr:row>86</xdr:row>
      <xdr:rowOff>190500</xdr:rowOff>
    </xdr:to>
    <xdr:sp macro="" textlink="">
      <xdr:nvSpPr>
        <xdr:cNvPr id="19572" name="Line 116">
          <a:extLst>
            <a:ext uri="{FF2B5EF4-FFF2-40B4-BE49-F238E27FC236}">
              <a16:creationId xmlns:a16="http://schemas.microsoft.com/office/drawing/2014/main" id="{00000000-0008-0000-0800-0000744C0000}"/>
            </a:ext>
          </a:extLst>
        </xdr:cNvPr>
        <xdr:cNvSpPr>
          <a:spLocks noChangeShapeType="1"/>
        </xdr:cNvSpPr>
      </xdr:nvSpPr>
      <xdr:spPr bwMode="auto">
        <a:xfrm>
          <a:off x="4648200" y="16078200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86</xdr:row>
      <xdr:rowOff>171450</xdr:rowOff>
    </xdr:from>
    <xdr:to>
      <xdr:col>5</xdr:col>
      <xdr:colOff>533400</xdr:colOff>
      <xdr:row>90</xdr:row>
      <xdr:rowOff>0</xdr:rowOff>
    </xdr:to>
    <xdr:sp macro="" textlink="">
      <xdr:nvSpPr>
        <xdr:cNvPr id="19573" name="Line 117">
          <a:extLst>
            <a:ext uri="{FF2B5EF4-FFF2-40B4-BE49-F238E27FC236}">
              <a16:creationId xmlns:a16="http://schemas.microsoft.com/office/drawing/2014/main" id="{00000000-0008-0000-0800-0000754C0000}"/>
            </a:ext>
          </a:extLst>
        </xdr:cNvPr>
        <xdr:cNvSpPr>
          <a:spLocks noChangeShapeType="1"/>
        </xdr:cNvSpPr>
      </xdr:nvSpPr>
      <xdr:spPr bwMode="auto">
        <a:xfrm>
          <a:off x="5410200" y="16078200"/>
          <a:ext cx="9525" cy="523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86</xdr:row>
      <xdr:rowOff>190500</xdr:rowOff>
    </xdr:from>
    <xdr:to>
      <xdr:col>3</xdr:col>
      <xdr:colOff>9525</xdr:colOff>
      <xdr:row>90</xdr:row>
      <xdr:rowOff>19050</xdr:rowOff>
    </xdr:to>
    <xdr:sp macro="" textlink="">
      <xdr:nvSpPr>
        <xdr:cNvPr id="19574" name="Line 118">
          <a:extLst>
            <a:ext uri="{FF2B5EF4-FFF2-40B4-BE49-F238E27FC236}">
              <a16:creationId xmlns:a16="http://schemas.microsoft.com/office/drawing/2014/main" id="{00000000-0008-0000-0800-0000764C0000}"/>
            </a:ext>
          </a:extLst>
        </xdr:cNvPr>
        <xdr:cNvSpPr>
          <a:spLocks noChangeShapeType="1"/>
        </xdr:cNvSpPr>
      </xdr:nvSpPr>
      <xdr:spPr bwMode="auto">
        <a:xfrm>
          <a:off x="2752725" y="16078200"/>
          <a:ext cx="9525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86</xdr:row>
      <xdr:rowOff>190500</xdr:rowOff>
    </xdr:from>
    <xdr:to>
      <xdr:col>3</xdr:col>
      <xdr:colOff>295275</xdr:colOff>
      <xdr:row>87</xdr:row>
      <xdr:rowOff>0</xdr:rowOff>
    </xdr:to>
    <xdr:sp macro="" textlink="">
      <xdr:nvSpPr>
        <xdr:cNvPr id="19575" name="Line 119">
          <a:extLst>
            <a:ext uri="{FF2B5EF4-FFF2-40B4-BE49-F238E27FC236}">
              <a16:creationId xmlns:a16="http://schemas.microsoft.com/office/drawing/2014/main" id="{00000000-0008-0000-0800-0000774C0000}"/>
            </a:ext>
          </a:extLst>
        </xdr:cNvPr>
        <xdr:cNvSpPr>
          <a:spLocks noChangeShapeType="1"/>
        </xdr:cNvSpPr>
      </xdr:nvSpPr>
      <xdr:spPr bwMode="auto">
        <a:xfrm flipV="1">
          <a:off x="2743200" y="16078200"/>
          <a:ext cx="304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86</xdr:row>
      <xdr:rowOff>66675</xdr:rowOff>
    </xdr:from>
    <xdr:to>
      <xdr:col>4</xdr:col>
      <xdr:colOff>219075</xdr:colOff>
      <xdr:row>86</xdr:row>
      <xdr:rowOff>171450</xdr:rowOff>
    </xdr:to>
    <xdr:sp macro="" textlink="">
      <xdr:nvSpPr>
        <xdr:cNvPr id="19576" name="Line 120">
          <a:extLst>
            <a:ext uri="{FF2B5EF4-FFF2-40B4-BE49-F238E27FC236}">
              <a16:creationId xmlns:a16="http://schemas.microsoft.com/office/drawing/2014/main" id="{00000000-0008-0000-0800-0000784C0000}"/>
            </a:ext>
          </a:extLst>
        </xdr:cNvPr>
        <xdr:cNvSpPr>
          <a:spLocks noChangeShapeType="1"/>
        </xdr:cNvSpPr>
      </xdr:nvSpPr>
      <xdr:spPr bwMode="auto">
        <a:xfrm flipV="1">
          <a:off x="4152900" y="15982950"/>
          <a:ext cx="190500" cy="9525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86</xdr:row>
      <xdr:rowOff>161925</xdr:rowOff>
    </xdr:from>
    <xdr:to>
      <xdr:col>4</xdr:col>
      <xdr:colOff>447675</xdr:colOff>
      <xdr:row>87</xdr:row>
      <xdr:rowOff>123825</xdr:rowOff>
    </xdr:to>
    <xdr:sp macro="" textlink="">
      <xdr:nvSpPr>
        <xdr:cNvPr id="19577" name="Line 121">
          <a:extLst>
            <a:ext uri="{FF2B5EF4-FFF2-40B4-BE49-F238E27FC236}">
              <a16:creationId xmlns:a16="http://schemas.microsoft.com/office/drawing/2014/main" id="{00000000-0008-0000-0800-0000794C0000}"/>
            </a:ext>
          </a:extLst>
        </xdr:cNvPr>
        <xdr:cNvSpPr>
          <a:spLocks noChangeShapeType="1"/>
        </xdr:cNvSpPr>
      </xdr:nvSpPr>
      <xdr:spPr bwMode="auto">
        <a:xfrm flipV="1">
          <a:off x="4324350" y="16078200"/>
          <a:ext cx="247650" cy="1238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86</xdr:row>
      <xdr:rowOff>66675</xdr:rowOff>
    </xdr:from>
    <xdr:to>
      <xdr:col>4</xdr:col>
      <xdr:colOff>200025</xdr:colOff>
      <xdr:row>87</xdr:row>
      <xdr:rowOff>142875</xdr:rowOff>
    </xdr:to>
    <xdr:sp macro="" textlink="">
      <xdr:nvSpPr>
        <xdr:cNvPr id="19578" name="Line 122">
          <a:extLst>
            <a:ext uri="{FF2B5EF4-FFF2-40B4-BE49-F238E27FC236}">
              <a16:creationId xmlns:a16="http://schemas.microsoft.com/office/drawing/2014/main" id="{00000000-0008-0000-0800-00007A4C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15982950"/>
          <a:ext cx="0" cy="2381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93</xdr:row>
      <xdr:rowOff>9525</xdr:rowOff>
    </xdr:from>
    <xdr:to>
      <xdr:col>6</xdr:col>
      <xdr:colOff>28575</xdr:colOff>
      <xdr:row>94</xdr:row>
      <xdr:rowOff>76200</xdr:rowOff>
    </xdr:to>
    <xdr:sp macro="" textlink="">
      <xdr:nvSpPr>
        <xdr:cNvPr id="19579" name="Line 123">
          <a:extLst>
            <a:ext uri="{FF2B5EF4-FFF2-40B4-BE49-F238E27FC236}">
              <a16:creationId xmlns:a16="http://schemas.microsoft.com/office/drawing/2014/main" id="{00000000-0008-0000-0800-00007B4C0000}"/>
            </a:ext>
          </a:extLst>
        </xdr:cNvPr>
        <xdr:cNvSpPr>
          <a:spLocks noChangeShapeType="1"/>
        </xdr:cNvSpPr>
      </xdr:nvSpPr>
      <xdr:spPr bwMode="auto">
        <a:xfrm flipV="1">
          <a:off x="5410200" y="17135475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93</xdr:row>
      <xdr:rowOff>95250</xdr:rowOff>
    </xdr:from>
    <xdr:to>
      <xdr:col>5</xdr:col>
      <xdr:colOff>704850</xdr:colOff>
      <xdr:row>95</xdr:row>
      <xdr:rowOff>0</xdr:rowOff>
    </xdr:to>
    <xdr:sp macro="" textlink="">
      <xdr:nvSpPr>
        <xdr:cNvPr id="19580" name="Freeform 124">
          <a:extLst>
            <a:ext uri="{FF2B5EF4-FFF2-40B4-BE49-F238E27FC236}">
              <a16:creationId xmlns:a16="http://schemas.microsoft.com/office/drawing/2014/main" id="{00000000-0008-0000-0800-00007C4C0000}"/>
            </a:ext>
          </a:extLst>
        </xdr:cNvPr>
        <xdr:cNvSpPr>
          <a:spLocks/>
        </xdr:cNvSpPr>
      </xdr:nvSpPr>
      <xdr:spPr bwMode="auto">
        <a:xfrm>
          <a:off x="5381625" y="17221200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352425</xdr:colOff>
      <xdr:row>93</xdr:row>
      <xdr:rowOff>85725</xdr:rowOff>
    </xdr:from>
    <xdr:to>
      <xdr:col>5</xdr:col>
      <xdr:colOff>495300</xdr:colOff>
      <xdr:row>93</xdr:row>
      <xdr:rowOff>95250</xdr:rowOff>
    </xdr:to>
    <xdr:sp macro="" textlink="">
      <xdr:nvSpPr>
        <xdr:cNvPr id="19581" name="Line 125">
          <a:extLst>
            <a:ext uri="{FF2B5EF4-FFF2-40B4-BE49-F238E27FC236}">
              <a16:creationId xmlns:a16="http://schemas.microsoft.com/office/drawing/2014/main" id="{00000000-0008-0000-0800-00007D4C0000}"/>
            </a:ext>
          </a:extLst>
        </xdr:cNvPr>
        <xdr:cNvSpPr>
          <a:spLocks noChangeShapeType="1"/>
        </xdr:cNvSpPr>
      </xdr:nvSpPr>
      <xdr:spPr bwMode="auto">
        <a:xfrm flipH="1" flipV="1">
          <a:off x="5238750" y="17211675"/>
          <a:ext cx="142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790575</xdr:colOff>
      <xdr:row>101</xdr:row>
      <xdr:rowOff>19050</xdr:rowOff>
    </xdr:from>
    <xdr:to>
      <xdr:col>6</xdr:col>
      <xdr:colOff>180975</xdr:colOff>
      <xdr:row>123</xdr:row>
      <xdr:rowOff>133350</xdr:rowOff>
    </xdr:to>
    <xdr:graphicFrame macro="">
      <xdr:nvGraphicFramePr>
        <xdr:cNvPr id="19582" name="Diagramm 126">
          <a:extLst>
            <a:ext uri="{FF2B5EF4-FFF2-40B4-BE49-F238E27FC236}">
              <a16:creationId xmlns:a16="http://schemas.microsoft.com/office/drawing/2014/main" id="{00000000-0008-0000-0800-00007E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1343025</xdr:colOff>
      <xdr:row>202</xdr:row>
      <xdr:rowOff>47625</xdr:rowOff>
    </xdr:from>
    <xdr:to>
      <xdr:col>4</xdr:col>
      <xdr:colOff>66675</xdr:colOff>
      <xdr:row>202</xdr:row>
      <xdr:rowOff>123825</xdr:rowOff>
    </xdr:to>
    <xdr:sp macro="" textlink="">
      <xdr:nvSpPr>
        <xdr:cNvPr id="19583" name="Oval 127">
          <a:extLst>
            <a:ext uri="{FF2B5EF4-FFF2-40B4-BE49-F238E27FC236}">
              <a16:creationId xmlns:a16="http://schemas.microsoft.com/office/drawing/2014/main" id="{00000000-0008-0000-0800-00007F4C0000}"/>
            </a:ext>
          </a:extLst>
        </xdr:cNvPr>
        <xdr:cNvSpPr>
          <a:spLocks noChangeArrowheads="1"/>
        </xdr:cNvSpPr>
      </xdr:nvSpPr>
      <xdr:spPr bwMode="auto">
        <a:xfrm>
          <a:off x="4095750" y="35347275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206</xdr:row>
      <xdr:rowOff>104775</xdr:rowOff>
    </xdr:from>
    <xdr:to>
      <xdr:col>0</xdr:col>
      <xdr:colOff>647700</xdr:colOff>
      <xdr:row>207</xdr:row>
      <xdr:rowOff>19050</xdr:rowOff>
    </xdr:to>
    <xdr:sp macro="" textlink="">
      <xdr:nvSpPr>
        <xdr:cNvPr id="19584" name="Oval 128">
          <a:extLst>
            <a:ext uri="{FF2B5EF4-FFF2-40B4-BE49-F238E27FC236}">
              <a16:creationId xmlns:a16="http://schemas.microsoft.com/office/drawing/2014/main" id="{00000000-0008-0000-0800-0000804C0000}"/>
            </a:ext>
          </a:extLst>
        </xdr:cNvPr>
        <xdr:cNvSpPr>
          <a:spLocks noChangeArrowheads="1"/>
        </xdr:cNvSpPr>
      </xdr:nvSpPr>
      <xdr:spPr bwMode="auto">
        <a:xfrm>
          <a:off x="571500" y="360711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202</xdr:row>
      <xdr:rowOff>38100</xdr:rowOff>
    </xdr:from>
    <xdr:to>
      <xdr:col>0</xdr:col>
      <xdr:colOff>676275</xdr:colOff>
      <xdr:row>202</xdr:row>
      <xdr:rowOff>123825</xdr:rowOff>
    </xdr:to>
    <xdr:sp macro="" textlink="">
      <xdr:nvSpPr>
        <xdr:cNvPr id="19585" name="Oval 129">
          <a:extLst>
            <a:ext uri="{FF2B5EF4-FFF2-40B4-BE49-F238E27FC236}">
              <a16:creationId xmlns:a16="http://schemas.microsoft.com/office/drawing/2014/main" id="{00000000-0008-0000-0800-0000814C0000}"/>
            </a:ext>
          </a:extLst>
        </xdr:cNvPr>
        <xdr:cNvSpPr>
          <a:spLocks noChangeArrowheads="1"/>
        </xdr:cNvSpPr>
      </xdr:nvSpPr>
      <xdr:spPr bwMode="auto">
        <a:xfrm>
          <a:off x="600075" y="3533775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202</xdr:row>
      <xdr:rowOff>47625</xdr:rowOff>
    </xdr:from>
    <xdr:to>
      <xdr:col>4</xdr:col>
      <xdr:colOff>352425</xdr:colOff>
      <xdr:row>202</xdr:row>
      <xdr:rowOff>123825</xdr:rowOff>
    </xdr:to>
    <xdr:sp macro="" textlink="">
      <xdr:nvSpPr>
        <xdr:cNvPr id="19586" name="Oval 130">
          <a:extLst>
            <a:ext uri="{FF2B5EF4-FFF2-40B4-BE49-F238E27FC236}">
              <a16:creationId xmlns:a16="http://schemas.microsoft.com/office/drawing/2014/main" id="{00000000-0008-0000-0800-0000824C0000}"/>
            </a:ext>
          </a:extLst>
        </xdr:cNvPr>
        <xdr:cNvSpPr>
          <a:spLocks noChangeArrowheads="1"/>
        </xdr:cNvSpPr>
      </xdr:nvSpPr>
      <xdr:spPr bwMode="auto">
        <a:xfrm>
          <a:off x="4400550" y="353472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201</xdr:row>
      <xdr:rowOff>152400</xdr:rowOff>
    </xdr:from>
    <xdr:to>
      <xdr:col>1</xdr:col>
      <xdr:colOff>561975</xdr:colOff>
      <xdr:row>202</xdr:row>
      <xdr:rowOff>161925</xdr:rowOff>
    </xdr:to>
    <xdr:sp macro="" textlink="">
      <xdr:nvSpPr>
        <xdr:cNvPr id="19587" name="Rectangle 131">
          <a:extLst>
            <a:ext uri="{FF2B5EF4-FFF2-40B4-BE49-F238E27FC236}">
              <a16:creationId xmlns:a16="http://schemas.microsoft.com/office/drawing/2014/main" id="{00000000-0008-0000-0800-0000834C0000}"/>
            </a:ext>
          </a:extLst>
        </xdr:cNvPr>
        <xdr:cNvSpPr>
          <a:spLocks noChangeArrowheads="1"/>
        </xdr:cNvSpPr>
      </xdr:nvSpPr>
      <xdr:spPr bwMode="auto">
        <a:xfrm>
          <a:off x="1695450" y="35252025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533400</xdr:colOff>
      <xdr:row>202</xdr:row>
      <xdr:rowOff>171450</xdr:rowOff>
    </xdr:to>
    <xdr:sp macro="" textlink="">
      <xdr:nvSpPr>
        <xdr:cNvPr id="19588" name="Rectangle 132">
          <a:extLst>
            <a:ext uri="{FF2B5EF4-FFF2-40B4-BE49-F238E27FC236}">
              <a16:creationId xmlns:a16="http://schemas.microsoft.com/office/drawing/2014/main" id="{00000000-0008-0000-0800-0000844C0000}"/>
            </a:ext>
          </a:extLst>
        </xdr:cNvPr>
        <xdr:cNvSpPr>
          <a:spLocks noChangeArrowheads="1"/>
        </xdr:cNvSpPr>
      </xdr:nvSpPr>
      <xdr:spPr bwMode="auto">
        <a:xfrm>
          <a:off x="2752725" y="35299650"/>
          <a:ext cx="533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762000</xdr:colOff>
      <xdr:row>204</xdr:row>
      <xdr:rowOff>19050</xdr:rowOff>
    </xdr:from>
    <xdr:to>
      <xdr:col>3</xdr:col>
      <xdr:colOff>1238250</xdr:colOff>
      <xdr:row>204</xdr:row>
      <xdr:rowOff>19050</xdr:rowOff>
    </xdr:to>
    <xdr:sp macro="" textlink="">
      <xdr:nvSpPr>
        <xdr:cNvPr id="19589" name="Line 133">
          <a:extLst>
            <a:ext uri="{FF2B5EF4-FFF2-40B4-BE49-F238E27FC236}">
              <a16:creationId xmlns:a16="http://schemas.microsoft.com/office/drawing/2014/main" id="{00000000-0008-0000-0800-0000854C0000}"/>
            </a:ext>
          </a:extLst>
        </xdr:cNvPr>
        <xdr:cNvSpPr>
          <a:spLocks noChangeShapeType="1"/>
        </xdr:cNvSpPr>
      </xdr:nvSpPr>
      <xdr:spPr bwMode="auto">
        <a:xfrm>
          <a:off x="3514725" y="3566160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204</xdr:row>
      <xdr:rowOff>152400</xdr:rowOff>
    </xdr:from>
    <xdr:to>
      <xdr:col>3</xdr:col>
      <xdr:colOff>1238250</xdr:colOff>
      <xdr:row>204</xdr:row>
      <xdr:rowOff>152400</xdr:rowOff>
    </xdr:to>
    <xdr:sp macro="" textlink="">
      <xdr:nvSpPr>
        <xdr:cNvPr id="19590" name="Line 134">
          <a:extLst>
            <a:ext uri="{FF2B5EF4-FFF2-40B4-BE49-F238E27FC236}">
              <a16:creationId xmlns:a16="http://schemas.microsoft.com/office/drawing/2014/main" id="{00000000-0008-0000-0800-0000864C0000}"/>
            </a:ext>
          </a:extLst>
        </xdr:cNvPr>
        <xdr:cNvSpPr>
          <a:spLocks noChangeShapeType="1"/>
        </xdr:cNvSpPr>
      </xdr:nvSpPr>
      <xdr:spPr bwMode="auto">
        <a:xfrm>
          <a:off x="3514725" y="357949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201</xdr:row>
      <xdr:rowOff>38100</xdr:rowOff>
    </xdr:from>
    <xdr:to>
      <xdr:col>4</xdr:col>
      <xdr:colOff>323850</xdr:colOff>
      <xdr:row>202</xdr:row>
      <xdr:rowOff>66675</xdr:rowOff>
    </xdr:to>
    <xdr:sp macro="" textlink="">
      <xdr:nvSpPr>
        <xdr:cNvPr id="19591" name="Line 135">
          <a:extLst>
            <a:ext uri="{FF2B5EF4-FFF2-40B4-BE49-F238E27FC236}">
              <a16:creationId xmlns:a16="http://schemas.microsoft.com/office/drawing/2014/main" id="{00000000-0008-0000-0800-0000874C0000}"/>
            </a:ext>
          </a:extLst>
        </xdr:cNvPr>
        <xdr:cNvSpPr>
          <a:spLocks noChangeShapeType="1"/>
        </xdr:cNvSpPr>
      </xdr:nvSpPr>
      <xdr:spPr bwMode="auto">
        <a:xfrm flipV="1">
          <a:off x="4181475" y="35137725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202</xdr:row>
      <xdr:rowOff>85725</xdr:rowOff>
    </xdr:from>
    <xdr:to>
      <xdr:col>3</xdr:col>
      <xdr:colOff>1333500</xdr:colOff>
      <xdr:row>202</xdr:row>
      <xdr:rowOff>85725</xdr:rowOff>
    </xdr:to>
    <xdr:sp macro="" textlink="">
      <xdr:nvSpPr>
        <xdr:cNvPr id="19592" name="Line 136">
          <a:extLst>
            <a:ext uri="{FF2B5EF4-FFF2-40B4-BE49-F238E27FC236}">
              <a16:creationId xmlns:a16="http://schemas.microsoft.com/office/drawing/2014/main" id="{00000000-0008-0000-0800-0000884C0000}"/>
            </a:ext>
          </a:extLst>
        </xdr:cNvPr>
        <xdr:cNvSpPr>
          <a:spLocks noChangeShapeType="1"/>
        </xdr:cNvSpPr>
      </xdr:nvSpPr>
      <xdr:spPr bwMode="auto">
        <a:xfrm>
          <a:off x="3705225" y="353853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202</xdr:row>
      <xdr:rowOff>85725</xdr:rowOff>
    </xdr:from>
    <xdr:to>
      <xdr:col>1</xdr:col>
      <xdr:colOff>57150</xdr:colOff>
      <xdr:row>202</xdr:row>
      <xdr:rowOff>85725</xdr:rowOff>
    </xdr:to>
    <xdr:sp macro="" textlink="">
      <xdr:nvSpPr>
        <xdr:cNvPr id="19593" name="Line 137">
          <a:extLst>
            <a:ext uri="{FF2B5EF4-FFF2-40B4-BE49-F238E27FC236}">
              <a16:creationId xmlns:a16="http://schemas.microsoft.com/office/drawing/2014/main" id="{00000000-0008-0000-0800-0000894C0000}"/>
            </a:ext>
          </a:extLst>
        </xdr:cNvPr>
        <xdr:cNvSpPr>
          <a:spLocks noChangeShapeType="1"/>
        </xdr:cNvSpPr>
      </xdr:nvSpPr>
      <xdr:spPr bwMode="auto">
        <a:xfrm>
          <a:off x="695325" y="35385375"/>
          <a:ext cx="1047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202</xdr:row>
      <xdr:rowOff>76200</xdr:rowOff>
    </xdr:from>
    <xdr:to>
      <xdr:col>3</xdr:col>
      <xdr:colOff>9525</xdr:colOff>
      <xdr:row>202</xdr:row>
      <xdr:rowOff>76200</xdr:rowOff>
    </xdr:to>
    <xdr:sp macro="" textlink="">
      <xdr:nvSpPr>
        <xdr:cNvPr id="19594" name="Line 138">
          <a:extLst>
            <a:ext uri="{FF2B5EF4-FFF2-40B4-BE49-F238E27FC236}">
              <a16:creationId xmlns:a16="http://schemas.microsoft.com/office/drawing/2014/main" id="{00000000-0008-0000-0800-00008A4C0000}"/>
            </a:ext>
          </a:extLst>
        </xdr:cNvPr>
        <xdr:cNvSpPr>
          <a:spLocks noChangeShapeType="1"/>
        </xdr:cNvSpPr>
      </xdr:nvSpPr>
      <xdr:spPr bwMode="auto">
        <a:xfrm>
          <a:off x="2247900" y="35375850"/>
          <a:ext cx="514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202</xdr:row>
      <xdr:rowOff>85725</xdr:rowOff>
    </xdr:from>
    <xdr:to>
      <xdr:col>3</xdr:col>
      <xdr:colOff>971550</xdr:colOff>
      <xdr:row>202</xdr:row>
      <xdr:rowOff>85725</xdr:rowOff>
    </xdr:to>
    <xdr:sp macro="" textlink="">
      <xdr:nvSpPr>
        <xdr:cNvPr id="19595" name="Line 139">
          <a:extLst>
            <a:ext uri="{FF2B5EF4-FFF2-40B4-BE49-F238E27FC236}">
              <a16:creationId xmlns:a16="http://schemas.microsoft.com/office/drawing/2014/main" id="{00000000-0008-0000-0800-00008B4C0000}"/>
            </a:ext>
          </a:extLst>
        </xdr:cNvPr>
        <xdr:cNvSpPr>
          <a:spLocks noChangeShapeType="1"/>
        </xdr:cNvSpPr>
      </xdr:nvSpPr>
      <xdr:spPr bwMode="auto">
        <a:xfrm>
          <a:off x="3305175" y="353853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207</xdr:row>
      <xdr:rowOff>0</xdr:rowOff>
    </xdr:from>
    <xdr:to>
      <xdr:col>3</xdr:col>
      <xdr:colOff>981075</xdr:colOff>
      <xdr:row>207</xdr:row>
      <xdr:rowOff>0</xdr:rowOff>
    </xdr:to>
    <xdr:sp macro="" textlink="">
      <xdr:nvSpPr>
        <xdr:cNvPr id="19596" name="Line 140">
          <a:extLst>
            <a:ext uri="{FF2B5EF4-FFF2-40B4-BE49-F238E27FC236}">
              <a16:creationId xmlns:a16="http://schemas.microsoft.com/office/drawing/2014/main" id="{00000000-0008-0000-0800-00008C4C0000}"/>
            </a:ext>
          </a:extLst>
        </xdr:cNvPr>
        <xdr:cNvSpPr>
          <a:spLocks noChangeShapeType="1"/>
        </xdr:cNvSpPr>
      </xdr:nvSpPr>
      <xdr:spPr bwMode="auto">
        <a:xfrm>
          <a:off x="657225" y="36128325"/>
          <a:ext cx="3076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202</xdr:row>
      <xdr:rowOff>85725</xdr:rowOff>
    </xdr:from>
    <xdr:to>
      <xdr:col>3</xdr:col>
      <xdr:colOff>952500</xdr:colOff>
      <xdr:row>204</xdr:row>
      <xdr:rowOff>19050</xdr:rowOff>
    </xdr:to>
    <xdr:sp macro="" textlink="">
      <xdr:nvSpPr>
        <xdr:cNvPr id="19597" name="Line 141">
          <a:extLst>
            <a:ext uri="{FF2B5EF4-FFF2-40B4-BE49-F238E27FC236}">
              <a16:creationId xmlns:a16="http://schemas.microsoft.com/office/drawing/2014/main" id="{00000000-0008-0000-0800-00008D4C0000}"/>
            </a:ext>
          </a:extLst>
        </xdr:cNvPr>
        <xdr:cNvSpPr>
          <a:spLocks noChangeShapeType="1"/>
        </xdr:cNvSpPr>
      </xdr:nvSpPr>
      <xdr:spPr bwMode="auto">
        <a:xfrm>
          <a:off x="3705225" y="35385375"/>
          <a:ext cx="0" cy="276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205</xdr:row>
      <xdr:rowOff>0</xdr:rowOff>
    </xdr:from>
    <xdr:to>
      <xdr:col>3</xdr:col>
      <xdr:colOff>962025</xdr:colOff>
      <xdr:row>207</xdr:row>
      <xdr:rowOff>0</xdr:rowOff>
    </xdr:to>
    <xdr:sp macro="" textlink="">
      <xdr:nvSpPr>
        <xdr:cNvPr id="19598" name="Line 142">
          <a:extLst>
            <a:ext uri="{FF2B5EF4-FFF2-40B4-BE49-F238E27FC236}">
              <a16:creationId xmlns:a16="http://schemas.microsoft.com/office/drawing/2014/main" id="{00000000-0008-0000-0800-00008E4C0000}"/>
            </a:ext>
          </a:extLst>
        </xdr:cNvPr>
        <xdr:cNvSpPr>
          <a:spLocks noChangeShapeType="1"/>
        </xdr:cNvSpPr>
      </xdr:nvSpPr>
      <xdr:spPr bwMode="auto">
        <a:xfrm flipV="1">
          <a:off x="3714750" y="35804475"/>
          <a:ext cx="0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203</xdr:row>
      <xdr:rowOff>38100</xdr:rowOff>
    </xdr:from>
    <xdr:to>
      <xdr:col>1</xdr:col>
      <xdr:colOff>381000</xdr:colOff>
      <xdr:row>204</xdr:row>
      <xdr:rowOff>104775</xdr:rowOff>
    </xdr:to>
    <xdr:sp macro="" textlink="">
      <xdr:nvSpPr>
        <xdr:cNvPr id="19599" name="Text Box 143">
          <a:extLst>
            <a:ext uri="{FF2B5EF4-FFF2-40B4-BE49-F238E27FC236}">
              <a16:creationId xmlns:a16="http://schemas.microsoft.com/office/drawing/2014/main" id="{00000000-0008-0000-0800-00008F4C0000}"/>
            </a:ext>
          </a:extLst>
        </xdr:cNvPr>
        <xdr:cNvSpPr txBox="1">
          <a:spLocks noChangeArrowheads="1"/>
        </xdr:cNvSpPr>
      </xdr:nvSpPr>
      <xdr:spPr bwMode="auto">
        <a:xfrm>
          <a:off x="1781175" y="3551872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UL</a:t>
          </a:r>
          <a:endParaRPr lang="de-CH"/>
        </a:p>
      </xdr:txBody>
    </xdr:sp>
    <xdr:clientData/>
  </xdr:twoCellAnchor>
  <xdr:twoCellAnchor>
    <xdr:from>
      <xdr:col>3</xdr:col>
      <xdr:colOff>114300</xdr:colOff>
      <xdr:row>203</xdr:row>
      <xdr:rowOff>28575</xdr:rowOff>
    </xdr:from>
    <xdr:to>
      <xdr:col>3</xdr:col>
      <xdr:colOff>400050</xdr:colOff>
      <xdr:row>204</xdr:row>
      <xdr:rowOff>95250</xdr:rowOff>
    </xdr:to>
    <xdr:sp macro="" textlink="">
      <xdr:nvSpPr>
        <xdr:cNvPr id="19600" name="Text Box 144">
          <a:extLst>
            <a:ext uri="{FF2B5EF4-FFF2-40B4-BE49-F238E27FC236}">
              <a16:creationId xmlns:a16="http://schemas.microsoft.com/office/drawing/2014/main" id="{00000000-0008-0000-0800-0000904C0000}"/>
            </a:ext>
          </a:extLst>
        </xdr:cNvPr>
        <xdr:cNvSpPr txBox="1">
          <a:spLocks noChangeArrowheads="1"/>
        </xdr:cNvSpPr>
      </xdr:nvSpPr>
      <xdr:spPr bwMode="auto">
        <a:xfrm>
          <a:off x="2867025" y="3550920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UR</a:t>
          </a:r>
          <a:endParaRPr lang="de-CH"/>
        </a:p>
      </xdr:txBody>
    </xdr:sp>
    <xdr:clientData/>
  </xdr:twoCellAnchor>
  <xdr:twoCellAnchor>
    <xdr:from>
      <xdr:col>1</xdr:col>
      <xdr:colOff>390525</xdr:colOff>
      <xdr:row>206</xdr:row>
      <xdr:rowOff>152400</xdr:rowOff>
    </xdr:from>
    <xdr:to>
      <xdr:col>1</xdr:col>
      <xdr:colOff>638175</xdr:colOff>
      <xdr:row>207</xdr:row>
      <xdr:rowOff>0</xdr:rowOff>
    </xdr:to>
    <xdr:sp macro="" textlink="">
      <xdr:nvSpPr>
        <xdr:cNvPr id="19601" name="Line 145">
          <a:extLst>
            <a:ext uri="{FF2B5EF4-FFF2-40B4-BE49-F238E27FC236}">
              <a16:creationId xmlns:a16="http://schemas.microsoft.com/office/drawing/2014/main" id="{00000000-0008-0000-0800-0000914C0000}"/>
            </a:ext>
          </a:extLst>
        </xdr:cNvPr>
        <xdr:cNvSpPr>
          <a:spLocks noChangeShapeType="1"/>
        </xdr:cNvSpPr>
      </xdr:nvSpPr>
      <xdr:spPr bwMode="auto">
        <a:xfrm flipH="1">
          <a:off x="2076450" y="36118800"/>
          <a:ext cx="247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203</xdr:row>
      <xdr:rowOff>0</xdr:rowOff>
    </xdr:from>
    <xdr:ext cx="76200" cy="200025"/>
    <xdr:sp macro="" textlink="">
      <xdr:nvSpPr>
        <xdr:cNvPr id="19602" name="Text Box 146">
          <a:extLst>
            <a:ext uri="{FF2B5EF4-FFF2-40B4-BE49-F238E27FC236}">
              <a16:creationId xmlns:a16="http://schemas.microsoft.com/office/drawing/2014/main" id="{00000000-0008-0000-0800-0000924C0000}"/>
            </a:ext>
          </a:extLst>
        </xdr:cNvPr>
        <xdr:cNvSpPr txBox="1">
          <a:spLocks noChangeArrowheads="1"/>
        </xdr:cNvSpPr>
      </xdr:nvSpPr>
      <xdr:spPr bwMode="auto">
        <a:xfrm>
          <a:off x="1819275" y="3548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205</xdr:row>
      <xdr:rowOff>28575</xdr:rowOff>
    </xdr:from>
    <xdr:to>
      <xdr:col>1</xdr:col>
      <xdr:colOff>542925</xdr:colOff>
      <xdr:row>206</xdr:row>
      <xdr:rowOff>95250</xdr:rowOff>
    </xdr:to>
    <xdr:sp macro="" textlink="">
      <xdr:nvSpPr>
        <xdr:cNvPr id="19603" name="Text Box 147">
          <a:extLst>
            <a:ext uri="{FF2B5EF4-FFF2-40B4-BE49-F238E27FC236}">
              <a16:creationId xmlns:a16="http://schemas.microsoft.com/office/drawing/2014/main" id="{00000000-0008-0000-0800-0000934C0000}"/>
            </a:ext>
          </a:extLst>
        </xdr:cNvPr>
        <xdr:cNvSpPr txBox="1">
          <a:spLocks noChangeArrowheads="1"/>
        </xdr:cNvSpPr>
      </xdr:nvSpPr>
      <xdr:spPr bwMode="auto">
        <a:xfrm>
          <a:off x="2114550" y="35833050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4</xdr:col>
      <xdr:colOff>342900</xdr:colOff>
      <xdr:row>202</xdr:row>
      <xdr:rowOff>95250</xdr:rowOff>
    </xdr:from>
    <xdr:to>
      <xdr:col>5</xdr:col>
      <xdr:colOff>9525</xdr:colOff>
      <xdr:row>202</xdr:row>
      <xdr:rowOff>95250</xdr:rowOff>
    </xdr:to>
    <xdr:sp macro="" textlink="">
      <xdr:nvSpPr>
        <xdr:cNvPr id="19604" name="Line 148">
          <a:extLst>
            <a:ext uri="{FF2B5EF4-FFF2-40B4-BE49-F238E27FC236}">
              <a16:creationId xmlns:a16="http://schemas.microsoft.com/office/drawing/2014/main" id="{00000000-0008-0000-0800-0000944C0000}"/>
            </a:ext>
          </a:extLst>
        </xdr:cNvPr>
        <xdr:cNvSpPr>
          <a:spLocks noChangeShapeType="1"/>
        </xdr:cNvSpPr>
      </xdr:nvSpPr>
      <xdr:spPr bwMode="auto">
        <a:xfrm>
          <a:off x="4467225" y="353949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85725</xdr:rowOff>
    </xdr:from>
    <xdr:to>
      <xdr:col>5</xdr:col>
      <xdr:colOff>0</xdr:colOff>
      <xdr:row>206</xdr:row>
      <xdr:rowOff>142875</xdr:rowOff>
    </xdr:to>
    <xdr:sp macro="" textlink="">
      <xdr:nvSpPr>
        <xdr:cNvPr id="19605" name="Line 149">
          <a:extLst>
            <a:ext uri="{FF2B5EF4-FFF2-40B4-BE49-F238E27FC236}">
              <a16:creationId xmlns:a16="http://schemas.microsoft.com/office/drawing/2014/main" id="{00000000-0008-0000-0800-0000954C0000}"/>
            </a:ext>
          </a:extLst>
        </xdr:cNvPr>
        <xdr:cNvSpPr>
          <a:spLocks noChangeShapeType="1"/>
        </xdr:cNvSpPr>
      </xdr:nvSpPr>
      <xdr:spPr bwMode="auto">
        <a:xfrm>
          <a:off x="4886325" y="35385375"/>
          <a:ext cx="0" cy="723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206</xdr:row>
      <xdr:rowOff>142875</xdr:rowOff>
    </xdr:from>
    <xdr:to>
      <xdr:col>3</xdr:col>
      <xdr:colOff>971550</xdr:colOff>
      <xdr:row>206</xdr:row>
      <xdr:rowOff>152400</xdr:rowOff>
    </xdr:to>
    <xdr:sp macro="" textlink="">
      <xdr:nvSpPr>
        <xdr:cNvPr id="19606" name="Line 150">
          <a:extLst>
            <a:ext uri="{FF2B5EF4-FFF2-40B4-BE49-F238E27FC236}">
              <a16:creationId xmlns:a16="http://schemas.microsoft.com/office/drawing/2014/main" id="{00000000-0008-0000-0800-0000964C0000}"/>
            </a:ext>
          </a:extLst>
        </xdr:cNvPr>
        <xdr:cNvSpPr>
          <a:spLocks noChangeShapeType="1"/>
        </xdr:cNvSpPr>
      </xdr:nvSpPr>
      <xdr:spPr bwMode="auto">
        <a:xfrm flipV="1">
          <a:off x="3714750" y="36109275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206</xdr:row>
      <xdr:rowOff>152400</xdr:rowOff>
    </xdr:from>
    <xdr:to>
      <xdr:col>5</xdr:col>
      <xdr:colOff>9525</xdr:colOff>
      <xdr:row>207</xdr:row>
      <xdr:rowOff>0</xdr:rowOff>
    </xdr:to>
    <xdr:sp macro="" textlink="">
      <xdr:nvSpPr>
        <xdr:cNvPr id="19607" name="Line 151">
          <a:extLst>
            <a:ext uri="{FF2B5EF4-FFF2-40B4-BE49-F238E27FC236}">
              <a16:creationId xmlns:a16="http://schemas.microsoft.com/office/drawing/2014/main" id="{00000000-0008-0000-0800-0000974C0000}"/>
            </a:ext>
          </a:extLst>
        </xdr:cNvPr>
        <xdr:cNvSpPr>
          <a:spLocks noChangeShapeType="1"/>
        </xdr:cNvSpPr>
      </xdr:nvSpPr>
      <xdr:spPr bwMode="auto">
        <a:xfrm>
          <a:off x="3714750" y="36118800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201</xdr:row>
      <xdr:rowOff>85725</xdr:rowOff>
    </xdr:from>
    <xdr:to>
      <xdr:col>4</xdr:col>
      <xdr:colOff>219075</xdr:colOff>
      <xdr:row>202</xdr:row>
      <xdr:rowOff>114300</xdr:rowOff>
    </xdr:to>
    <xdr:sp macro="" textlink="">
      <xdr:nvSpPr>
        <xdr:cNvPr id="19608" name="Freeform 152">
          <a:extLst>
            <a:ext uri="{FF2B5EF4-FFF2-40B4-BE49-F238E27FC236}">
              <a16:creationId xmlns:a16="http://schemas.microsoft.com/office/drawing/2014/main" id="{00000000-0008-0000-0800-0000984C0000}"/>
            </a:ext>
          </a:extLst>
        </xdr:cNvPr>
        <xdr:cNvSpPr>
          <a:spLocks/>
        </xdr:cNvSpPr>
      </xdr:nvSpPr>
      <xdr:spPr bwMode="auto">
        <a:xfrm>
          <a:off x="4133850" y="35185350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1314450</xdr:colOff>
      <xdr:row>201</xdr:row>
      <xdr:rowOff>57150</xdr:rowOff>
    </xdr:from>
    <xdr:to>
      <xdr:col>4</xdr:col>
      <xdr:colOff>76200</xdr:colOff>
      <xdr:row>201</xdr:row>
      <xdr:rowOff>95250</xdr:rowOff>
    </xdr:to>
    <xdr:sp macro="" textlink="">
      <xdr:nvSpPr>
        <xdr:cNvPr id="19609" name="Line 153">
          <a:extLst>
            <a:ext uri="{FF2B5EF4-FFF2-40B4-BE49-F238E27FC236}">
              <a16:creationId xmlns:a16="http://schemas.microsoft.com/office/drawing/2014/main" id="{00000000-0008-0000-0800-0000994C0000}"/>
            </a:ext>
          </a:extLst>
        </xdr:cNvPr>
        <xdr:cNvSpPr>
          <a:spLocks noChangeShapeType="1"/>
        </xdr:cNvSpPr>
      </xdr:nvSpPr>
      <xdr:spPr bwMode="auto">
        <a:xfrm flipH="1" flipV="1">
          <a:off x="4067175" y="35156775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204</xdr:row>
      <xdr:rowOff>0</xdr:rowOff>
    </xdr:from>
    <xdr:to>
      <xdr:col>0</xdr:col>
      <xdr:colOff>752475</xdr:colOff>
      <xdr:row>205</xdr:row>
      <xdr:rowOff>66675</xdr:rowOff>
    </xdr:to>
    <xdr:sp macro="" textlink="">
      <xdr:nvSpPr>
        <xdr:cNvPr id="19610" name="Text Box 154">
          <a:extLst>
            <a:ext uri="{FF2B5EF4-FFF2-40B4-BE49-F238E27FC236}">
              <a16:creationId xmlns:a16="http://schemas.microsoft.com/office/drawing/2014/main" id="{00000000-0008-0000-0800-00009A4C0000}"/>
            </a:ext>
          </a:extLst>
        </xdr:cNvPr>
        <xdr:cNvSpPr txBox="1">
          <a:spLocks noChangeArrowheads="1"/>
        </xdr:cNvSpPr>
      </xdr:nvSpPr>
      <xdr:spPr bwMode="auto">
        <a:xfrm>
          <a:off x="466725" y="3564255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1304925</xdr:colOff>
      <xdr:row>204</xdr:row>
      <xdr:rowOff>9525</xdr:rowOff>
    </xdr:from>
    <xdr:to>
      <xdr:col>4</xdr:col>
      <xdr:colOff>238125</xdr:colOff>
      <xdr:row>205</xdr:row>
      <xdr:rowOff>76200</xdr:rowOff>
    </xdr:to>
    <xdr:sp macro="" textlink="">
      <xdr:nvSpPr>
        <xdr:cNvPr id="19611" name="Text Box 155">
          <a:extLst>
            <a:ext uri="{FF2B5EF4-FFF2-40B4-BE49-F238E27FC236}">
              <a16:creationId xmlns:a16="http://schemas.microsoft.com/office/drawing/2014/main" id="{00000000-0008-0000-0800-00009B4C0000}"/>
            </a:ext>
          </a:extLst>
        </xdr:cNvPr>
        <xdr:cNvSpPr txBox="1">
          <a:spLocks noChangeArrowheads="1"/>
        </xdr:cNvSpPr>
      </xdr:nvSpPr>
      <xdr:spPr bwMode="auto">
        <a:xfrm>
          <a:off x="4057650" y="35652075"/>
          <a:ext cx="304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Uc</a:t>
          </a:r>
          <a:endParaRPr lang="de-CH"/>
        </a:p>
      </xdr:txBody>
    </xdr:sp>
    <xdr:clientData/>
  </xdr:twoCellAnchor>
  <xdr:twoCellAnchor>
    <xdr:from>
      <xdr:col>5</xdr:col>
      <xdr:colOff>438150</xdr:colOff>
      <xdr:row>218</xdr:row>
      <xdr:rowOff>57150</xdr:rowOff>
    </xdr:from>
    <xdr:to>
      <xdr:col>5</xdr:col>
      <xdr:colOff>533400</xdr:colOff>
      <xdr:row>218</xdr:row>
      <xdr:rowOff>133350</xdr:rowOff>
    </xdr:to>
    <xdr:sp macro="" textlink="">
      <xdr:nvSpPr>
        <xdr:cNvPr id="19612" name="Oval 156">
          <a:extLst>
            <a:ext uri="{FF2B5EF4-FFF2-40B4-BE49-F238E27FC236}">
              <a16:creationId xmlns:a16="http://schemas.microsoft.com/office/drawing/2014/main" id="{00000000-0008-0000-0800-00009C4C0000}"/>
            </a:ext>
          </a:extLst>
        </xdr:cNvPr>
        <xdr:cNvSpPr>
          <a:spLocks noChangeArrowheads="1"/>
        </xdr:cNvSpPr>
      </xdr:nvSpPr>
      <xdr:spPr bwMode="auto">
        <a:xfrm>
          <a:off x="5324475" y="380809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223</xdr:row>
      <xdr:rowOff>123825</xdr:rowOff>
    </xdr:from>
    <xdr:to>
      <xdr:col>0</xdr:col>
      <xdr:colOff>619125</xdr:colOff>
      <xdr:row>224</xdr:row>
      <xdr:rowOff>28575</xdr:rowOff>
    </xdr:to>
    <xdr:sp macro="" textlink="">
      <xdr:nvSpPr>
        <xdr:cNvPr id="19613" name="Oval 157">
          <a:extLst>
            <a:ext uri="{FF2B5EF4-FFF2-40B4-BE49-F238E27FC236}">
              <a16:creationId xmlns:a16="http://schemas.microsoft.com/office/drawing/2014/main" id="{00000000-0008-0000-0800-00009D4C0000}"/>
            </a:ext>
          </a:extLst>
        </xdr:cNvPr>
        <xdr:cNvSpPr>
          <a:spLocks noChangeArrowheads="1"/>
        </xdr:cNvSpPr>
      </xdr:nvSpPr>
      <xdr:spPr bwMode="auto">
        <a:xfrm>
          <a:off x="542925" y="390334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218</xdr:row>
      <xdr:rowOff>38100</xdr:rowOff>
    </xdr:from>
    <xdr:to>
      <xdr:col>0</xdr:col>
      <xdr:colOff>676275</xdr:colOff>
      <xdr:row>218</xdr:row>
      <xdr:rowOff>123825</xdr:rowOff>
    </xdr:to>
    <xdr:sp macro="" textlink="">
      <xdr:nvSpPr>
        <xdr:cNvPr id="19614" name="Oval 158">
          <a:extLst>
            <a:ext uri="{FF2B5EF4-FFF2-40B4-BE49-F238E27FC236}">
              <a16:creationId xmlns:a16="http://schemas.microsoft.com/office/drawing/2014/main" id="{00000000-0008-0000-0800-00009E4C0000}"/>
            </a:ext>
          </a:extLst>
        </xdr:cNvPr>
        <xdr:cNvSpPr>
          <a:spLocks noChangeArrowheads="1"/>
        </xdr:cNvSpPr>
      </xdr:nvSpPr>
      <xdr:spPr bwMode="auto">
        <a:xfrm>
          <a:off x="600075" y="380619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218</xdr:row>
      <xdr:rowOff>57150</xdr:rowOff>
    </xdr:from>
    <xdr:to>
      <xdr:col>6</xdr:col>
      <xdr:colOff>66675</xdr:colOff>
      <xdr:row>218</xdr:row>
      <xdr:rowOff>133350</xdr:rowOff>
    </xdr:to>
    <xdr:sp macro="" textlink="">
      <xdr:nvSpPr>
        <xdr:cNvPr id="19615" name="Oval 159">
          <a:extLst>
            <a:ext uri="{FF2B5EF4-FFF2-40B4-BE49-F238E27FC236}">
              <a16:creationId xmlns:a16="http://schemas.microsoft.com/office/drawing/2014/main" id="{00000000-0008-0000-0800-00009F4C0000}"/>
            </a:ext>
          </a:extLst>
        </xdr:cNvPr>
        <xdr:cNvSpPr>
          <a:spLocks noChangeArrowheads="1"/>
        </xdr:cNvSpPr>
      </xdr:nvSpPr>
      <xdr:spPr bwMode="auto">
        <a:xfrm>
          <a:off x="5638800" y="380809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217</xdr:row>
      <xdr:rowOff>171450</xdr:rowOff>
    </xdr:from>
    <xdr:to>
      <xdr:col>4</xdr:col>
      <xdr:colOff>400050</xdr:colOff>
      <xdr:row>219</xdr:row>
      <xdr:rowOff>0</xdr:rowOff>
    </xdr:to>
    <xdr:sp macro="" textlink="">
      <xdr:nvSpPr>
        <xdr:cNvPr id="19616" name="Rectangle 160">
          <a:extLst>
            <a:ext uri="{FF2B5EF4-FFF2-40B4-BE49-F238E27FC236}">
              <a16:creationId xmlns:a16="http://schemas.microsoft.com/office/drawing/2014/main" id="{00000000-0008-0000-0800-0000A04C0000}"/>
            </a:ext>
          </a:extLst>
        </xdr:cNvPr>
        <xdr:cNvSpPr>
          <a:spLocks noChangeArrowheads="1"/>
        </xdr:cNvSpPr>
      </xdr:nvSpPr>
      <xdr:spPr bwMode="auto">
        <a:xfrm>
          <a:off x="3971925" y="38023800"/>
          <a:ext cx="552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217</xdr:row>
      <xdr:rowOff>190500</xdr:rowOff>
    </xdr:from>
    <xdr:to>
      <xdr:col>3</xdr:col>
      <xdr:colOff>809625</xdr:colOff>
      <xdr:row>218</xdr:row>
      <xdr:rowOff>152400</xdr:rowOff>
    </xdr:to>
    <xdr:sp macro="" textlink="">
      <xdr:nvSpPr>
        <xdr:cNvPr id="19617" name="Rectangle 161">
          <a:extLst>
            <a:ext uri="{FF2B5EF4-FFF2-40B4-BE49-F238E27FC236}">
              <a16:creationId xmlns:a16="http://schemas.microsoft.com/office/drawing/2014/main" id="{00000000-0008-0000-0800-0000A14C0000}"/>
            </a:ext>
          </a:extLst>
        </xdr:cNvPr>
        <xdr:cNvSpPr>
          <a:spLocks noChangeArrowheads="1"/>
        </xdr:cNvSpPr>
      </xdr:nvSpPr>
      <xdr:spPr bwMode="auto">
        <a:xfrm>
          <a:off x="3028950" y="38023800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221</xdr:row>
      <xdr:rowOff>28575</xdr:rowOff>
    </xdr:from>
    <xdr:to>
      <xdr:col>5</xdr:col>
      <xdr:colOff>342900</xdr:colOff>
      <xdr:row>221</xdr:row>
      <xdr:rowOff>28575</xdr:rowOff>
    </xdr:to>
    <xdr:sp macro="" textlink="">
      <xdr:nvSpPr>
        <xdr:cNvPr id="19618" name="Line 162">
          <a:extLst>
            <a:ext uri="{FF2B5EF4-FFF2-40B4-BE49-F238E27FC236}">
              <a16:creationId xmlns:a16="http://schemas.microsoft.com/office/drawing/2014/main" id="{00000000-0008-0000-0800-0000A24C0000}"/>
            </a:ext>
          </a:extLst>
        </xdr:cNvPr>
        <xdr:cNvSpPr>
          <a:spLocks noChangeShapeType="1"/>
        </xdr:cNvSpPr>
      </xdr:nvSpPr>
      <xdr:spPr bwMode="auto">
        <a:xfrm>
          <a:off x="4752975" y="385762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221</xdr:row>
      <xdr:rowOff>133350</xdr:rowOff>
    </xdr:from>
    <xdr:to>
      <xdr:col>5</xdr:col>
      <xdr:colOff>342900</xdr:colOff>
      <xdr:row>221</xdr:row>
      <xdr:rowOff>133350</xdr:rowOff>
    </xdr:to>
    <xdr:sp macro="" textlink="">
      <xdr:nvSpPr>
        <xdr:cNvPr id="19619" name="Line 163">
          <a:extLst>
            <a:ext uri="{FF2B5EF4-FFF2-40B4-BE49-F238E27FC236}">
              <a16:creationId xmlns:a16="http://schemas.microsoft.com/office/drawing/2014/main" id="{00000000-0008-0000-0800-0000A34C0000}"/>
            </a:ext>
          </a:extLst>
        </xdr:cNvPr>
        <xdr:cNvSpPr>
          <a:spLocks noChangeShapeType="1"/>
        </xdr:cNvSpPr>
      </xdr:nvSpPr>
      <xdr:spPr bwMode="auto">
        <a:xfrm>
          <a:off x="4752975" y="386810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218</xdr:row>
      <xdr:rowOff>104775</xdr:rowOff>
    </xdr:from>
    <xdr:to>
      <xdr:col>5</xdr:col>
      <xdr:colOff>466725</xdr:colOff>
      <xdr:row>218</xdr:row>
      <xdr:rowOff>104775</xdr:rowOff>
    </xdr:to>
    <xdr:sp macro="" textlink="">
      <xdr:nvSpPr>
        <xdr:cNvPr id="19620" name="Line 164">
          <a:extLst>
            <a:ext uri="{FF2B5EF4-FFF2-40B4-BE49-F238E27FC236}">
              <a16:creationId xmlns:a16="http://schemas.microsoft.com/office/drawing/2014/main" id="{00000000-0008-0000-0800-0000A44C0000}"/>
            </a:ext>
          </a:extLst>
        </xdr:cNvPr>
        <xdr:cNvSpPr>
          <a:spLocks noChangeShapeType="1"/>
        </xdr:cNvSpPr>
      </xdr:nvSpPr>
      <xdr:spPr bwMode="auto">
        <a:xfrm>
          <a:off x="4972050" y="381285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218</xdr:row>
      <xdr:rowOff>85725</xdr:rowOff>
    </xdr:from>
    <xdr:to>
      <xdr:col>3</xdr:col>
      <xdr:colOff>285750</xdr:colOff>
      <xdr:row>218</xdr:row>
      <xdr:rowOff>85725</xdr:rowOff>
    </xdr:to>
    <xdr:sp macro="" textlink="">
      <xdr:nvSpPr>
        <xdr:cNvPr id="19621" name="Line 165">
          <a:extLst>
            <a:ext uri="{FF2B5EF4-FFF2-40B4-BE49-F238E27FC236}">
              <a16:creationId xmlns:a16="http://schemas.microsoft.com/office/drawing/2014/main" id="{00000000-0008-0000-0800-0000A54C0000}"/>
            </a:ext>
          </a:extLst>
        </xdr:cNvPr>
        <xdr:cNvSpPr>
          <a:spLocks noChangeShapeType="1"/>
        </xdr:cNvSpPr>
      </xdr:nvSpPr>
      <xdr:spPr bwMode="auto">
        <a:xfrm flipV="1">
          <a:off x="695325" y="38109525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218</xdr:row>
      <xdr:rowOff>76200</xdr:rowOff>
    </xdr:from>
    <xdr:to>
      <xdr:col>3</xdr:col>
      <xdr:colOff>1238250</xdr:colOff>
      <xdr:row>218</xdr:row>
      <xdr:rowOff>76200</xdr:rowOff>
    </xdr:to>
    <xdr:sp macro="" textlink="">
      <xdr:nvSpPr>
        <xdr:cNvPr id="19622" name="Line 166">
          <a:extLst>
            <a:ext uri="{FF2B5EF4-FFF2-40B4-BE49-F238E27FC236}">
              <a16:creationId xmlns:a16="http://schemas.microsoft.com/office/drawing/2014/main" id="{00000000-0008-0000-0800-0000A64C0000}"/>
            </a:ext>
          </a:extLst>
        </xdr:cNvPr>
        <xdr:cNvSpPr>
          <a:spLocks noChangeShapeType="1"/>
        </xdr:cNvSpPr>
      </xdr:nvSpPr>
      <xdr:spPr bwMode="auto">
        <a:xfrm>
          <a:off x="3562350" y="381000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218</xdr:row>
      <xdr:rowOff>104775</xdr:rowOff>
    </xdr:from>
    <xdr:to>
      <xdr:col>5</xdr:col>
      <xdr:colOff>38100</xdr:colOff>
      <xdr:row>218</xdr:row>
      <xdr:rowOff>104775</xdr:rowOff>
    </xdr:to>
    <xdr:sp macro="" textlink="">
      <xdr:nvSpPr>
        <xdr:cNvPr id="19623" name="Line 167">
          <a:extLst>
            <a:ext uri="{FF2B5EF4-FFF2-40B4-BE49-F238E27FC236}">
              <a16:creationId xmlns:a16="http://schemas.microsoft.com/office/drawing/2014/main" id="{00000000-0008-0000-0800-0000A74C0000}"/>
            </a:ext>
          </a:extLst>
        </xdr:cNvPr>
        <xdr:cNvSpPr>
          <a:spLocks noChangeShapeType="1"/>
        </xdr:cNvSpPr>
      </xdr:nvSpPr>
      <xdr:spPr bwMode="auto">
        <a:xfrm>
          <a:off x="4505325" y="381285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223</xdr:row>
      <xdr:rowOff>171450</xdr:rowOff>
    </xdr:from>
    <xdr:to>
      <xdr:col>5</xdr:col>
      <xdr:colOff>85725</xdr:colOff>
      <xdr:row>223</xdr:row>
      <xdr:rowOff>171450</xdr:rowOff>
    </xdr:to>
    <xdr:sp macro="" textlink="">
      <xdr:nvSpPr>
        <xdr:cNvPr id="19624" name="Line 168">
          <a:extLst>
            <a:ext uri="{FF2B5EF4-FFF2-40B4-BE49-F238E27FC236}">
              <a16:creationId xmlns:a16="http://schemas.microsoft.com/office/drawing/2014/main" id="{00000000-0008-0000-0800-0000A84C0000}"/>
            </a:ext>
          </a:extLst>
        </xdr:cNvPr>
        <xdr:cNvSpPr>
          <a:spLocks noChangeShapeType="1"/>
        </xdr:cNvSpPr>
      </xdr:nvSpPr>
      <xdr:spPr bwMode="auto">
        <a:xfrm>
          <a:off x="638175" y="39071550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218</xdr:row>
      <xdr:rowOff>95250</xdr:rowOff>
    </xdr:from>
    <xdr:to>
      <xdr:col>5</xdr:col>
      <xdr:colOff>95250</xdr:colOff>
      <xdr:row>221</xdr:row>
      <xdr:rowOff>28575</xdr:rowOff>
    </xdr:to>
    <xdr:sp macro="" textlink="">
      <xdr:nvSpPr>
        <xdr:cNvPr id="19625" name="Line 169">
          <a:extLst>
            <a:ext uri="{FF2B5EF4-FFF2-40B4-BE49-F238E27FC236}">
              <a16:creationId xmlns:a16="http://schemas.microsoft.com/office/drawing/2014/main" id="{00000000-0008-0000-0800-0000A94C0000}"/>
            </a:ext>
          </a:extLst>
        </xdr:cNvPr>
        <xdr:cNvSpPr>
          <a:spLocks noChangeShapeType="1"/>
        </xdr:cNvSpPr>
      </xdr:nvSpPr>
      <xdr:spPr bwMode="auto">
        <a:xfrm>
          <a:off x="4981575" y="38119050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221</xdr:row>
      <xdr:rowOff>133350</xdr:rowOff>
    </xdr:from>
    <xdr:to>
      <xdr:col>5</xdr:col>
      <xdr:colOff>104775</xdr:colOff>
      <xdr:row>223</xdr:row>
      <xdr:rowOff>171450</xdr:rowOff>
    </xdr:to>
    <xdr:sp macro="" textlink="">
      <xdr:nvSpPr>
        <xdr:cNvPr id="19626" name="Line 170">
          <a:extLst>
            <a:ext uri="{FF2B5EF4-FFF2-40B4-BE49-F238E27FC236}">
              <a16:creationId xmlns:a16="http://schemas.microsoft.com/office/drawing/2014/main" id="{00000000-0008-0000-0800-0000AA4C0000}"/>
            </a:ext>
          </a:extLst>
        </xdr:cNvPr>
        <xdr:cNvSpPr>
          <a:spLocks noChangeShapeType="1"/>
        </xdr:cNvSpPr>
      </xdr:nvSpPr>
      <xdr:spPr bwMode="auto">
        <a:xfrm flipV="1">
          <a:off x="4991100" y="38681025"/>
          <a:ext cx="0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223</xdr:row>
      <xdr:rowOff>171450</xdr:rowOff>
    </xdr:from>
    <xdr:to>
      <xdr:col>1</xdr:col>
      <xdr:colOff>619125</xdr:colOff>
      <xdr:row>223</xdr:row>
      <xdr:rowOff>171450</xdr:rowOff>
    </xdr:to>
    <xdr:sp macro="" textlink="">
      <xdr:nvSpPr>
        <xdr:cNvPr id="19627" name="Line 171">
          <a:extLst>
            <a:ext uri="{FF2B5EF4-FFF2-40B4-BE49-F238E27FC236}">
              <a16:creationId xmlns:a16="http://schemas.microsoft.com/office/drawing/2014/main" id="{00000000-0008-0000-0800-0000AB4C0000}"/>
            </a:ext>
          </a:extLst>
        </xdr:cNvPr>
        <xdr:cNvSpPr>
          <a:spLocks noChangeShapeType="1"/>
        </xdr:cNvSpPr>
      </xdr:nvSpPr>
      <xdr:spPr bwMode="auto">
        <a:xfrm flipH="1">
          <a:off x="2038350" y="390715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220</xdr:row>
      <xdr:rowOff>0</xdr:rowOff>
    </xdr:from>
    <xdr:ext cx="76200" cy="200025"/>
    <xdr:sp macro="" textlink="">
      <xdr:nvSpPr>
        <xdr:cNvPr id="19628" name="Text Box 172">
          <a:extLst>
            <a:ext uri="{FF2B5EF4-FFF2-40B4-BE49-F238E27FC236}">
              <a16:creationId xmlns:a16="http://schemas.microsoft.com/office/drawing/2014/main" id="{00000000-0008-0000-0800-0000AC4C0000}"/>
            </a:ext>
          </a:extLst>
        </xdr:cNvPr>
        <xdr:cNvSpPr txBox="1">
          <a:spLocks noChangeArrowheads="1"/>
        </xdr:cNvSpPr>
      </xdr:nvSpPr>
      <xdr:spPr bwMode="auto">
        <a:xfrm>
          <a:off x="1819275" y="3834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222</xdr:row>
      <xdr:rowOff>28575</xdr:rowOff>
    </xdr:from>
    <xdr:to>
      <xdr:col>1</xdr:col>
      <xdr:colOff>542925</xdr:colOff>
      <xdr:row>223</xdr:row>
      <xdr:rowOff>95250</xdr:rowOff>
    </xdr:to>
    <xdr:sp macro="" textlink="">
      <xdr:nvSpPr>
        <xdr:cNvPr id="19629" name="Text Box 173">
          <a:extLst>
            <a:ext uri="{FF2B5EF4-FFF2-40B4-BE49-F238E27FC236}">
              <a16:creationId xmlns:a16="http://schemas.microsoft.com/office/drawing/2014/main" id="{00000000-0008-0000-0800-0000AD4C0000}"/>
            </a:ext>
          </a:extLst>
        </xdr:cNvPr>
        <xdr:cNvSpPr txBox="1">
          <a:spLocks noChangeArrowheads="1"/>
        </xdr:cNvSpPr>
      </xdr:nvSpPr>
      <xdr:spPr bwMode="auto">
        <a:xfrm>
          <a:off x="2114550" y="3877627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218</xdr:row>
      <xdr:rowOff>95250</xdr:rowOff>
    </xdr:from>
    <xdr:to>
      <xdr:col>6</xdr:col>
      <xdr:colOff>523875</xdr:colOff>
      <xdr:row>218</xdr:row>
      <xdr:rowOff>104775</xdr:rowOff>
    </xdr:to>
    <xdr:sp macro="" textlink="">
      <xdr:nvSpPr>
        <xdr:cNvPr id="19630" name="Line 174">
          <a:extLst>
            <a:ext uri="{FF2B5EF4-FFF2-40B4-BE49-F238E27FC236}">
              <a16:creationId xmlns:a16="http://schemas.microsoft.com/office/drawing/2014/main" id="{00000000-0008-0000-0800-0000AE4C0000}"/>
            </a:ext>
          </a:extLst>
        </xdr:cNvPr>
        <xdr:cNvSpPr>
          <a:spLocks noChangeShapeType="1"/>
        </xdr:cNvSpPr>
      </xdr:nvSpPr>
      <xdr:spPr bwMode="auto">
        <a:xfrm flipV="1">
          <a:off x="5715000" y="38119050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218</xdr:row>
      <xdr:rowOff>104775</xdr:rowOff>
    </xdr:from>
    <xdr:to>
      <xdr:col>6</xdr:col>
      <xdr:colOff>514350</xdr:colOff>
      <xdr:row>223</xdr:row>
      <xdr:rowOff>161925</xdr:rowOff>
    </xdr:to>
    <xdr:sp macro="" textlink="">
      <xdr:nvSpPr>
        <xdr:cNvPr id="19631" name="Line 175">
          <a:extLst>
            <a:ext uri="{FF2B5EF4-FFF2-40B4-BE49-F238E27FC236}">
              <a16:creationId xmlns:a16="http://schemas.microsoft.com/office/drawing/2014/main" id="{00000000-0008-0000-0800-0000AF4C0000}"/>
            </a:ext>
          </a:extLst>
        </xdr:cNvPr>
        <xdr:cNvSpPr>
          <a:spLocks noChangeShapeType="1"/>
        </xdr:cNvSpPr>
      </xdr:nvSpPr>
      <xdr:spPr bwMode="auto">
        <a:xfrm>
          <a:off x="6162675" y="38128575"/>
          <a:ext cx="0" cy="9429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223</xdr:row>
      <xdr:rowOff>142875</xdr:rowOff>
    </xdr:from>
    <xdr:to>
      <xdr:col>3</xdr:col>
      <xdr:colOff>971550</xdr:colOff>
      <xdr:row>223</xdr:row>
      <xdr:rowOff>152400</xdr:rowOff>
    </xdr:to>
    <xdr:sp macro="" textlink="">
      <xdr:nvSpPr>
        <xdr:cNvPr id="19632" name="Line 176">
          <a:extLst>
            <a:ext uri="{FF2B5EF4-FFF2-40B4-BE49-F238E27FC236}">
              <a16:creationId xmlns:a16="http://schemas.microsoft.com/office/drawing/2014/main" id="{00000000-0008-0000-0800-0000B04C0000}"/>
            </a:ext>
          </a:extLst>
        </xdr:cNvPr>
        <xdr:cNvSpPr>
          <a:spLocks noChangeShapeType="1"/>
        </xdr:cNvSpPr>
      </xdr:nvSpPr>
      <xdr:spPr bwMode="auto">
        <a:xfrm flipV="1">
          <a:off x="3714750" y="390525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223</xdr:row>
      <xdr:rowOff>161925</xdr:rowOff>
    </xdr:from>
    <xdr:to>
      <xdr:col>6</xdr:col>
      <xdr:colOff>523875</xdr:colOff>
      <xdr:row>223</xdr:row>
      <xdr:rowOff>171450</xdr:rowOff>
    </xdr:to>
    <xdr:sp macro="" textlink="">
      <xdr:nvSpPr>
        <xdr:cNvPr id="19633" name="Line 177">
          <a:extLst>
            <a:ext uri="{FF2B5EF4-FFF2-40B4-BE49-F238E27FC236}">
              <a16:creationId xmlns:a16="http://schemas.microsoft.com/office/drawing/2014/main" id="{00000000-0008-0000-0800-0000B14C0000}"/>
            </a:ext>
          </a:extLst>
        </xdr:cNvPr>
        <xdr:cNvSpPr>
          <a:spLocks noChangeShapeType="1"/>
        </xdr:cNvSpPr>
      </xdr:nvSpPr>
      <xdr:spPr bwMode="auto">
        <a:xfrm flipV="1">
          <a:off x="5000625" y="39071550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220</xdr:row>
      <xdr:rowOff>161925</xdr:rowOff>
    </xdr:from>
    <xdr:to>
      <xdr:col>0</xdr:col>
      <xdr:colOff>800100</xdr:colOff>
      <xdr:row>222</xdr:row>
      <xdr:rowOff>28575</xdr:rowOff>
    </xdr:to>
    <xdr:sp macro="" textlink="">
      <xdr:nvSpPr>
        <xdr:cNvPr id="19634" name="Text Box 178">
          <a:extLst>
            <a:ext uri="{FF2B5EF4-FFF2-40B4-BE49-F238E27FC236}">
              <a16:creationId xmlns:a16="http://schemas.microsoft.com/office/drawing/2014/main" id="{00000000-0008-0000-0800-0000B24C0000}"/>
            </a:ext>
          </a:extLst>
        </xdr:cNvPr>
        <xdr:cNvSpPr txBox="1">
          <a:spLocks noChangeArrowheads="1"/>
        </xdr:cNvSpPr>
      </xdr:nvSpPr>
      <xdr:spPr bwMode="auto">
        <a:xfrm>
          <a:off x="514350" y="38509575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1209675</xdr:colOff>
      <xdr:row>216</xdr:row>
      <xdr:rowOff>76200</xdr:rowOff>
    </xdr:from>
    <xdr:to>
      <xdr:col>4</xdr:col>
      <xdr:colOff>390525</xdr:colOff>
      <xdr:row>217</xdr:row>
      <xdr:rowOff>85725</xdr:rowOff>
    </xdr:to>
    <xdr:sp macro="" textlink="">
      <xdr:nvSpPr>
        <xdr:cNvPr id="19635" name="Rectangle 179">
          <a:extLst>
            <a:ext uri="{FF2B5EF4-FFF2-40B4-BE49-F238E27FC236}">
              <a16:creationId xmlns:a16="http://schemas.microsoft.com/office/drawing/2014/main" id="{00000000-0008-0000-0800-0000B34C0000}"/>
            </a:ext>
          </a:extLst>
        </xdr:cNvPr>
        <xdr:cNvSpPr>
          <a:spLocks noChangeArrowheads="1"/>
        </xdr:cNvSpPr>
      </xdr:nvSpPr>
      <xdr:spPr bwMode="auto">
        <a:xfrm>
          <a:off x="3962400" y="37776150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216</xdr:row>
      <xdr:rowOff>123825</xdr:rowOff>
    </xdr:from>
    <xdr:to>
      <xdr:col>3</xdr:col>
      <xdr:colOff>819150</xdr:colOff>
      <xdr:row>217</xdr:row>
      <xdr:rowOff>85725</xdr:rowOff>
    </xdr:to>
    <xdr:sp macro="" textlink="">
      <xdr:nvSpPr>
        <xdr:cNvPr id="19636" name="Rectangle 180">
          <a:extLst>
            <a:ext uri="{FF2B5EF4-FFF2-40B4-BE49-F238E27FC236}">
              <a16:creationId xmlns:a16="http://schemas.microsoft.com/office/drawing/2014/main" id="{00000000-0008-0000-0800-0000B44C0000}"/>
            </a:ext>
          </a:extLst>
        </xdr:cNvPr>
        <xdr:cNvSpPr>
          <a:spLocks noChangeArrowheads="1"/>
        </xdr:cNvSpPr>
      </xdr:nvSpPr>
      <xdr:spPr bwMode="auto">
        <a:xfrm>
          <a:off x="3038475" y="37823775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217</xdr:row>
      <xdr:rowOff>0</xdr:rowOff>
    </xdr:from>
    <xdr:to>
      <xdr:col>3</xdr:col>
      <xdr:colOff>1257300</xdr:colOff>
      <xdr:row>217</xdr:row>
      <xdr:rowOff>0</xdr:rowOff>
    </xdr:to>
    <xdr:sp macro="" textlink="">
      <xdr:nvSpPr>
        <xdr:cNvPr id="19637" name="Line 181">
          <a:extLst>
            <a:ext uri="{FF2B5EF4-FFF2-40B4-BE49-F238E27FC236}">
              <a16:creationId xmlns:a16="http://schemas.microsoft.com/office/drawing/2014/main" id="{00000000-0008-0000-0800-0000B54C0000}"/>
            </a:ext>
          </a:extLst>
        </xdr:cNvPr>
        <xdr:cNvSpPr>
          <a:spLocks noChangeShapeType="1"/>
        </xdr:cNvSpPr>
      </xdr:nvSpPr>
      <xdr:spPr bwMode="auto">
        <a:xfrm>
          <a:off x="3581400" y="378618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217</xdr:row>
      <xdr:rowOff>9525</xdr:rowOff>
    </xdr:from>
    <xdr:to>
      <xdr:col>3</xdr:col>
      <xdr:colOff>276225</xdr:colOff>
      <xdr:row>217</xdr:row>
      <xdr:rowOff>9525</xdr:rowOff>
    </xdr:to>
    <xdr:sp macro="" textlink="">
      <xdr:nvSpPr>
        <xdr:cNvPr id="19638" name="Line 182">
          <a:extLst>
            <a:ext uri="{FF2B5EF4-FFF2-40B4-BE49-F238E27FC236}">
              <a16:creationId xmlns:a16="http://schemas.microsoft.com/office/drawing/2014/main" id="{00000000-0008-0000-0800-0000B64C0000}"/>
            </a:ext>
          </a:extLst>
        </xdr:cNvPr>
        <xdr:cNvSpPr>
          <a:spLocks noChangeShapeType="1"/>
        </xdr:cNvSpPr>
      </xdr:nvSpPr>
      <xdr:spPr bwMode="auto">
        <a:xfrm>
          <a:off x="2771775" y="37871400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213</xdr:row>
      <xdr:rowOff>66675</xdr:rowOff>
    </xdr:from>
    <xdr:to>
      <xdr:col>4</xdr:col>
      <xdr:colOff>95250</xdr:colOff>
      <xdr:row>214</xdr:row>
      <xdr:rowOff>142875</xdr:rowOff>
    </xdr:to>
    <xdr:sp macro="" textlink="">
      <xdr:nvSpPr>
        <xdr:cNvPr id="19639" name="Line 183">
          <a:extLst>
            <a:ext uri="{FF2B5EF4-FFF2-40B4-BE49-F238E27FC236}">
              <a16:creationId xmlns:a16="http://schemas.microsoft.com/office/drawing/2014/main" id="{00000000-0008-0000-0800-0000B74C0000}"/>
            </a:ext>
          </a:extLst>
        </xdr:cNvPr>
        <xdr:cNvSpPr>
          <a:spLocks noChangeShapeType="1"/>
        </xdr:cNvSpPr>
      </xdr:nvSpPr>
      <xdr:spPr bwMode="auto">
        <a:xfrm>
          <a:off x="4219575" y="37242750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213</xdr:row>
      <xdr:rowOff>66675</xdr:rowOff>
    </xdr:from>
    <xdr:to>
      <xdr:col>4</xdr:col>
      <xdr:colOff>0</xdr:colOff>
      <xdr:row>214</xdr:row>
      <xdr:rowOff>142875</xdr:rowOff>
    </xdr:to>
    <xdr:sp macro="" textlink="">
      <xdr:nvSpPr>
        <xdr:cNvPr id="19640" name="Line 184">
          <a:extLst>
            <a:ext uri="{FF2B5EF4-FFF2-40B4-BE49-F238E27FC236}">
              <a16:creationId xmlns:a16="http://schemas.microsoft.com/office/drawing/2014/main" id="{00000000-0008-0000-0800-0000B84C0000}"/>
            </a:ext>
          </a:extLst>
        </xdr:cNvPr>
        <xdr:cNvSpPr>
          <a:spLocks noChangeShapeType="1"/>
        </xdr:cNvSpPr>
      </xdr:nvSpPr>
      <xdr:spPr bwMode="auto">
        <a:xfrm>
          <a:off x="4124325" y="37242750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213</xdr:row>
      <xdr:rowOff>190500</xdr:rowOff>
    </xdr:from>
    <xdr:to>
      <xdr:col>5</xdr:col>
      <xdr:colOff>542925</xdr:colOff>
      <xdr:row>214</xdr:row>
      <xdr:rowOff>0</xdr:rowOff>
    </xdr:to>
    <xdr:sp macro="" textlink="">
      <xdr:nvSpPr>
        <xdr:cNvPr id="19641" name="Line 185">
          <a:extLst>
            <a:ext uri="{FF2B5EF4-FFF2-40B4-BE49-F238E27FC236}">
              <a16:creationId xmlns:a16="http://schemas.microsoft.com/office/drawing/2014/main" id="{00000000-0008-0000-0800-0000B94C0000}"/>
            </a:ext>
          </a:extLst>
        </xdr:cNvPr>
        <xdr:cNvSpPr>
          <a:spLocks noChangeShapeType="1"/>
        </xdr:cNvSpPr>
      </xdr:nvSpPr>
      <xdr:spPr bwMode="auto">
        <a:xfrm flipV="1">
          <a:off x="4248150" y="37338000"/>
          <a:ext cx="1181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214</xdr:row>
      <xdr:rowOff>0</xdr:rowOff>
    </xdr:from>
    <xdr:to>
      <xdr:col>3</xdr:col>
      <xdr:colOff>1362075</xdr:colOff>
      <xdr:row>214</xdr:row>
      <xdr:rowOff>9525</xdr:rowOff>
    </xdr:to>
    <xdr:sp macro="" textlink="">
      <xdr:nvSpPr>
        <xdr:cNvPr id="19642" name="Line 186">
          <a:extLst>
            <a:ext uri="{FF2B5EF4-FFF2-40B4-BE49-F238E27FC236}">
              <a16:creationId xmlns:a16="http://schemas.microsoft.com/office/drawing/2014/main" id="{00000000-0008-0000-0800-0000BA4C0000}"/>
            </a:ext>
          </a:extLst>
        </xdr:cNvPr>
        <xdr:cNvSpPr>
          <a:spLocks noChangeShapeType="1"/>
        </xdr:cNvSpPr>
      </xdr:nvSpPr>
      <xdr:spPr bwMode="auto">
        <a:xfrm flipV="1">
          <a:off x="2781300" y="37338000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214</xdr:row>
      <xdr:rowOff>0</xdr:rowOff>
    </xdr:from>
    <xdr:to>
      <xdr:col>5</xdr:col>
      <xdr:colOff>542925</xdr:colOff>
      <xdr:row>217</xdr:row>
      <xdr:rowOff>9525</xdr:rowOff>
    </xdr:to>
    <xdr:sp macro="" textlink="">
      <xdr:nvSpPr>
        <xdr:cNvPr id="19643" name="Line 187">
          <a:extLst>
            <a:ext uri="{FF2B5EF4-FFF2-40B4-BE49-F238E27FC236}">
              <a16:creationId xmlns:a16="http://schemas.microsoft.com/office/drawing/2014/main" id="{00000000-0008-0000-0800-0000BB4C0000}"/>
            </a:ext>
          </a:extLst>
        </xdr:cNvPr>
        <xdr:cNvSpPr>
          <a:spLocks noChangeShapeType="1"/>
        </xdr:cNvSpPr>
      </xdr:nvSpPr>
      <xdr:spPr bwMode="auto">
        <a:xfrm>
          <a:off x="5419725" y="37338000"/>
          <a:ext cx="9525" cy="533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19050</xdr:colOff>
      <xdr:row>217</xdr:row>
      <xdr:rowOff>9525</xdr:rowOff>
    </xdr:to>
    <xdr:sp macro="" textlink="">
      <xdr:nvSpPr>
        <xdr:cNvPr id="19644" name="Line 188">
          <a:extLst>
            <a:ext uri="{FF2B5EF4-FFF2-40B4-BE49-F238E27FC236}">
              <a16:creationId xmlns:a16="http://schemas.microsoft.com/office/drawing/2014/main" id="{00000000-0008-0000-0800-0000BC4C0000}"/>
            </a:ext>
          </a:extLst>
        </xdr:cNvPr>
        <xdr:cNvSpPr>
          <a:spLocks noChangeShapeType="1"/>
        </xdr:cNvSpPr>
      </xdr:nvSpPr>
      <xdr:spPr bwMode="auto">
        <a:xfrm>
          <a:off x="2771775" y="37357050"/>
          <a:ext cx="0" cy="514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217</xdr:row>
      <xdr:rowOff>0</xdr:rowOff>
    </xdr:from>
    <xdr:to>
      <xdr:col>5</xdr:col>
      <xdr:colOff>533400</xdr:colOff>
      <xdr:row>217</xdr:row>
      <xdr:rowOff>0</xdr:rowOff>
    </xdr:to>
    <xdr:sp macro="" textlink="">
      <xdr:nvSpPr>
        <xdr:cNvPr id="19645" name="Line 189">
          <a:extLst>
            <a:ext uri="{FF2B5EF4-FFF2-40B4-BE49-F238E27FC236}">
              <a16:creationId xmlns:a16="http://schemas.microsoft.com/office/drawing/2014/main" id="{00000000-0008-0000-0800-0000BD4C0000}"/>
            </a:ext>
          </a:extLst>
        </xdr:cNvPr>
        <xdr:cNvSpPr>
          <a:spLocks noChangeShapeType="1"/>
        </xdr:cNvSpPr>
      </xdr:nvSpPr>
      <xdr:spPr bwMode="auto">
        <a:xfrm flipV="1">
          <a:off x="4543425" y="37861875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217</xdr:row>
      <xdr:rowOff>133350</xdr:rowOff>
    </xdr:from>
    <xdr:to>
      <xdr:col>4</xdr:col>
      <xdr:colOff>400050</xdr:colOff>
      <xdr:row>217</xdr:row>
      <xdr:rowOff>133350</xdr:rowOff>
    </xdr:to>
    <xdr:sp macro="" textlink="">
      <xdr:nvSpPr>
        <xdr:cNvPr id="19646" name="Line 190">
          <a:extLst>
            <a:ext uri="{FF2B5EF4-FFF2-40B4-BE49-F238E27FC236}">
              <a16:creationId xmlns:a16="http://schemas.microsoft.com/office/drawing/2014/main" id="{00000000-0008-0000-0800-0000BE4C0000}"/>
            </a:ext>
          </a:extLst>
        </xdr:cNvPr>
        <xdr:cNvSpPr>
          <a:spLocks noChangeShapeType="1"/>
        </xdr:cNvSpPr>
      </xdr:nvSpPr>
      <xdr:spPr bwMode="auto">
        <a:xfrm>
          <a:off x="4000500" y="37995225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210</xdr:row>
      <xdr:rowOff>114300</xdr:rowOff>
    </xdr:from>
    <xdr:to>
      <xdr:col>3</xdr:col>
      <xdr:colOff>838200</xdr:colOff>
      <xdr:row>211</xdr:row>
      <xdr:rowOff>76200</xdr:rowOff>
    </xdr:to>
    <xdr:sp macro="" textlink="">
      <xdr:nvSpPr>
        <xdr:cNvPr id="19647" name="Rectangle 191">
          <a:extLst>
            <a:ext uri="{FF2B5EF4-FFF2-40B4-BE49-F238E27FC236}">
              <a16:creationId xmlns:a16="http://schemas.microsoft.com/office/drawing/2014/main" id="{00000000-0008-0000-0800-0000BF4C0000}"/>
            </a:ext>
          </a:extLst>
        </xdr:cNvPr>
        <xdr:cNvSpPr>
          <a:spLocks noChangeArrowheads="1"/>
        </xdr:cNvSpPr>
      </xdr:nvSpPr>
      <xdr:spPr bwMode="auto">
        <a:xfrm>
          <a:off x="3057525" y="36766500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211</xdr:row>
      <xdr:rowOff>0</xdr:rowOff>
    </xdr:from>
    <xdr:to>
      <xdr:col>3</xdr:col>
      <xdr:colOff>1285875</xdr:colOff>
      <xdr:row>211</xdr:row>
      <xdr:rowOff>0</xdr:rowOff>
    </xdr:to>
    <xdr:sp macro="" textlink="">
      <xdr:nvSpPr>
        <xdr:cNvPr id="19648" name="Line 192">
          <a:extLst>
            <a:ext uri="{FF2B5EF4-FFF2-40B4-BE49-F238E27FC236}">
              <a16:creationId xmlns:a16="http://schemas.microsoft.com/office/drawing/2014/main" id="{00000000-0008-0000-0800-0000C04C0000}"/>
            </a:ext>
          </a:extLst>
        </xdr:cNvPr>
        <xdr:cNvSpPr>
          <a:spLocks noChangeShapeType="1"/>
        </xdr:cNvSpPr>
      </xdr:nvSpPr>
      <xdr:spPr bwMode="auto">
        <a:xfrm>
          <a:off x="3609975" y="3681412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210</xdr:row>
      <xdr:rowOff>180975</xdr:rowOff>
    </xdr:from>
    <xdr:to>
      <xdr:col>5</xdr:col>
      <xdr:colOff>514350</xdr:colOff>
      <xdr:row>210</xdr:row>
      <xdr:rowOff>190500</xdr:rowOff>
    </xdr:to>
    <xdr:sp macro="" textlink="">
      <xdr:nvSpPr>
        <xdr:cNvPr id="19649" name="Line 193">
          <a:extLst>
            <a:ext uri="{FF2B5EF4-FFF2-40B4-BE49-F238E27FC236}">
              <a16:creationId xmlns:a16="http://schemas.microsoft.com/office/drawing/2014/main" id="{00000000-0008-0000-0800-0000C14C0000}"/>
            </a:ext>
          </a:extLst>
        </xdr:cNvPr>
        <xdr:cNvSpPr>
          <a:spLocks noChangeShapeType="1"/>
        </xdr:cNvSpPr>
      </xdr:nvSpPr>
      <xdr:spPr bwMode="auto">
        <a:xfrm>
          <a:off x="4648200" y="36814125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210</xdr:row>
      <xdr:rowOff>171450</xdr:rowOff>
    </xdr:from>
    <xdr:to>
      <xdr:col>5</xdr:col>
      <xdr:colOff>533400</xdr:colOff>
      <xdr:row>214</xdr:row>
      <xdr:rowOff>0</xdr:rowOff>
    </xdr:to>
    <xdr:sp macro="" textlink="">
      <xdr:nvSpPr>
        <xdr:cNvPr id="19650" name="Line 194">
          <a:extLst>
            <a:ext uri="{FF2B5EF4-FFF2-40B4-BE49-F238E27FC236}">
              <a16:creationId xmlns:a16="http://schemas.microsoft.com/office/drawing/2014/main" id="{00000000-0008-0000-0800-0000C24C0000}"/>
            </a:ext>
          </a:extLst>
        </xdr:cNvPr>
        <xdr:cNvSpPr>
          <a:spLocks noChangeShapeType="1"/>
        </xdr:cNvSpPr>
      </xdr:nvSpPr>
      <xdr:spPr bwMode="auto">
        <a:xfrm>
          <a:off x="5410200" y="36814125"/>
          <a:ext cx="9525" cy="523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210</xdr:row>
      <xdr:rowOff>190500</xdr:rowOff>
    </xdr:from>
    <xdr:to>
      <xdr:col>3</xdr:col>
      <xdr:colOff>9525</xdr:colOff>
      <xdr:row>214</xdr:row>
      <xdr:rowOff>19050</xdr:rowOff>
    </xdr:to>
    <xdr:sp macro="" textlink="">
      <xdr:nvSpPr>
        <xdr:cNvPr id="19651" name="Line 195">
          <a:extLst>
            <a:ext uri="{FF2B5EF4-FFF2-40B4-BE49-F238E27FC236}">
              <a16:creationId xmlns:a16="http://schemas.microsoft.com/office/drawing/2014/main" id="{00000000-0008-0000-0800-0000C34C0000}"/>
            </a:ext>
          </a:extLst>
        </xdr:cNvPr>
        <xdr:cNvSpPr>
          <a:spLocks noChangeShapeType="1"/>
        </xdr:cNvSpPr>
      </xdr:nvSpPr>
      <xdr:spPr bwMode="auto">
        <a:xfrm>
          <a:off x="2752725" y="36814125"/>
          <a:ext cx="9525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210</xdr:row>
      <xdr:rowOff>190500</xdr:rowOff>
    </xdr:from>
    <xdr:to>
      <xdr:col>3</xdr:col>
      <xdr:colOff>295275</xdr:colOff>
      <xdr:row>211</xdr:row>
      <xdr:rowOff>0</xdr:rowOff>
    </xdr:to>
    <xdr:sp macro="" textlink="">
      <xdr:nvSpPr>
        <xdr:cNvPr id="19652" name="Line 196">
          <a:extLst>
            <a:ext uri="{FF2B5EF4-FFF2-40B4-BE49-F238E27FC236}">
              <a16:creationId xmlns:a16="http://schemas.microsoft.com/office/drawing/2014/main" id="{00000000-0008-0000-0800-0000C44C0000}"/>
            </a:ext>
          </a:extLst>
        </xdr:cNvPr>
        <xdr:cNvSpPr>
          <a:spLocks noChangeShapeType="1"/>
        </xdr:cNvSpPr>
      </xdr:nvSpPr>
      <xdr:spPr bwMode="auto">
        <a:xfrm flipV="1">
          <a:off x="2743200" y="36814125"/>
          <a:ext cx="304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210</xdr:row>
      <xdr:rowOff>66675</xdr:rowOff>
    </xdr:from>
    <xdr:to>
      <xdr:col>4</xdr:col>
      <xdr:colOff>219075</xdr:colOff>
      <xdr:row>210</xdr:row>
      <xdr:rowOff>171450</xdr:rowOff>
    </xdr:to>
    <xdr:sp macro="" textlink="">
      <xdr:nvSpPr>
        <xdr:cNvPr id="19653" name="Line 197">
          <a:extLst>
            <a:ext uri="{FF2B5EF4-FFF2-40B4-BE49-F238E27FC236}">
              <a16:creationId xmlns:a16="http://schemas.microsoft.com/office/drawing/2014/main" id="{00000000-0008-0000-0800-0000C54C0000}"/>
            </a:ext>
          </a:extLst>
        </xdr:cNvPr>
        <xdr:cNvSpPr>
          <a:spLocks noChangeShapeType="1"/>
        </xdr:cNvSpPr>
      </xdr:nvSpPr>
      <xdr:spPr bwMode="auto">
        <a:xfrm flipV="1">
          <a:off x="4152900" y="36718875"/>
          <a:ext cx="190500" cy="9525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210</xdr:row>
      <xdr:rowOff>161925</xdr:rowOff>
    </xdr:from>
    <xdr:to>
      <xdr:col>4</xdr:col>
      <xdr:colOff>447675</xdr:colOff>
      <xdr:row>211</xdr:row>
      <xdr:rowOff>123825</xdr:rowOff>
    </xdr:to>
    <xdr:sp macro="" textlink="">
      <xdr:nvSpPr>
        <xdr:cNvPr id="19654" name="Line 198">
          <a:extLst>
            <a:ext uri="{FF2B5EF4-FFF2-40B4-BE49-F238E27FC236}">
              <a16:creationId xmlns:a16="http://schemas.microsoft.com/office/drawing/2014/main" id="{00000000-0008-0000-0800-0000C64C0000}"/>
            </a:ext>
          </a:extLst>
        </xdr:cNvPr>
        <xdr:cNvSpPr>
          <a:spLocks noChangeShapeType="1"/>
        </xdr:cNvSpPr>
      </xdr:nvSpPr>
      <xdr:spPr bwMode="auto">
        <a:xfrm flipV="1">
          <a:off x="4324350" y="36814125"/>
          <a:ext cx="247650" cy="1238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210</xdr:row>
      <xdr:rowOff>66675</xdr:rowOff>
    </xdr:from>
    <xdr:to>
      <xdr:col>4</xdr:col>
      <xdr:colOff>200025</xdr:colOff>
      <xdr:row>211</xdr:row>
      <xdr:rowOff>142875</xdr:rowOff>
    </xdr:to>
    <xdr:sp macro="" textlink="">
      <xdr:nvSpPr>
        <xdr:cNvPr id="19655" name="Line 199">
          <a:extLst>
            <a:ext uri="{FF2B5EF4-FFF2-40B4-BE49-F238E27FC236}">
              <a16:creationId xmlns:a16="http://schemas.microsoft.com/office/drawing/2014/main" id="{00000000-0008-0000-0800-0000C74C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36718875"/>
          <a:ext cx="0" cy="2381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217</xdr:row>
      <xdr:rowOff>9525</xdr:rowOff>
    </xdr:from>
    <xdr:to>
      <xdr:col>6</xdr:col>
      <xdr:colOff>28575</xdr:colOff>
      <xdr:row>218</xdr:row>
      <xdr:rowOff>76200</xdr:rowOff>
    </xdr:to>
    <xdr:sp macro="" textlink="">
      <xdr:nvSpPr>
        <xdr:cNvPr id="19656" name="Line 200">
          <a:extLst>
            <a:ext uri="{FF2B5EF4-FFF2-40B4-BE49-F238E27FC236}">
              <a16:creationId xmlns:a16="http://schemas.microsoft.com/office/drawing/2014/main" id="{00000000-0008-0000-0800-0000C84C0000}"/>
            </a:ext>
          </a:extLst>
        </xdr:cNvPr>
        <xdr:cNvSpPr>
          <a:spLocks noChangeShapeType="1"/>
        </xdr:cNvSpPr>
      </xdr:nvSpPr>
      <xdr:spPr bwMode="auto">
        <a:xfrm flipV="1">
          <a:off x="5410200" y="37871400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217</xdr:row>
      <xdr:rowOff>95250</xdr:rowOff>
    </xdr:from>
    <xdr:to>
      <xdr:col>5</xdr:col>
      <xdr:colOff>704850</xdr:colOff>
      <xdr:row>219</xdr:row>
      <xdr:rowOff>0</xdr:rowOff>
    </xdr:to>
    <xdr:sp macro="" textlink="">
      <xdr:nvSpPr>
        <xdr:cNvPr id="19657" name="Freeform 201">
          <a:extLst>
            <a:ext uri="{FF2B5EF4-FFF2-40B4-BE49-F238E27FC236}">
              <a16:creationId xmlns:a16="http://schemas.microsoft.com/office/drawing/2014/main" id="{00000000-0008-0000-0800-0000C94C0000}"/>
            </a:ext>
          </a:extLst>
        </xdr:cNvPr>
        <xdr:cNvSpPr>
          <a:spLocks/>
        </xdr:cNvSpPr>
      </xdr:nvSpPr>
      <xdr:spPr bwMode="auto">
        <a:xfrm>
          <a:off x="5381625" y="37957125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352425</xdr:colOff>
      <xdr:row>217</xdr:row>
      <xdr:rowOff>85725</xdr:rowOff>
    </xdr:from>
    <xdr:to>
      <xdr:col>5</xdr:col>
      <xdr:colOff>495300</xdr:colOff>
      <xdr:row>217</xdr:row>
      <xdr:rowOff>95250</xdr:rowOff>
    </xdr:to>
    <xdr:sp macro="" textlink="">
      <xdr:nvSpPr>
        <xdr:cNvPr id="19658" name="Line 202">
          <a:extLst>
            <a:ext uri="{FF2B5EF4-FFF2-40B4-BE49-F238E27FC236}">
              <a16:creationId xmlns:a16="http://schemas.microsoft.com/office/drawing/2014/main" id="{00000000-0008-0000-0800-0000CA4C0000}"/>
            </a:ext>
          </a:extLst>
        </xdr:cNvPr>
        <xdr:cNvSpPr>
          <a:spLocks noChangeShapeType="1"/>
        </xdr:cNvSpPr>
      </xdr:nvSpPr>
      <xdr:spPr bwMode="auto">
        <a:xfrm flipH="1" flipV="1">
          <a:off x="5238750" y="37947600"/>
          <a:ext cx="142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225</xdr:row>
      <xdr:rowOff>19050</xdr:rowOff>
    </xdr:from>
    <xdr:to>
      <xdr:col>6</xdr:col>
      <xdr:colOff>542925</xdr:colOff>
      <xdr:row>254</xdr:row>
      <xdr:rowOff>66675</xdr:rowOff>
    </xdr:to>
    <xdr:graphicFrame macro="">
      <xdr:nvGraphicFramePr>
        <xdr:cNvPr id="19659" name="Diagramm 203">
          <a:extLst>
            <a:ext uri="{FF2B5EF4-FFF2-40B4-BE49-F238E27FC236}">
              <a16:creationId xmlns:a16="http://schemas.microsoft.com/office/drawing/2014/main" id="{00000000-0008-0000-0800-0000CB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0.28701</cdr:x>
      <cdr:y>0.44044</cdr:y>
    </cdr:from>
    <cdr:to>
      <cdr:x>0.4342</cdr:x>
      <cdr:y>0.49142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021" y="2142728"/>
          <a:ext cx="133325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10 x UL till interrupt !</a:t>
          </a:r>
          <a:endParaRPr lang="de-CH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2529" name="Oval 1">
          <a:extLst>
            <a:ext uri="{FF2B5EF4-FFF2-40B4-BE49-F238E27FC236}">
              <a16:creationId xmlns:a16="http://schemas.microsoft.com/office/drawing/2014/main" id="{00000000-0008-0000-0B00-00000158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2530" name="Oval 2">
          <a:extLst>
            <a:ext uri="{FF2B5EF4-FFF2-40B4-BE49-F238E27FC236}">
              <a16:creationId xmlns:a16="http://schemas.microsoft.com/office/drawing/2014/main" id="{00000000-0008-0000-0B00-000002580000}"/>
            </a:ext>
          </a:extLst>
        </xdr:cNvPr>
        <xdr:cNvSpPr>
          <a:spLocks noChangeArrowheads="1"/>
        </xdr:cNvSpPr>
      </xdr:nvSpPr>
      <xdr:spPr bwMode="auto">
        <a:xfrm>
          <a:off x="0" y="6572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0</xdr:colOff>
      <xdr:row>3</xdr:row>
      <xdr:rowOff>152400</xdr:rowOff>
    </xdr:to>
    <xdr:sp macro="" textlink="">
      <xdr:nvSpPr>
        <xdr:cNvPr id="22531" name="Oval 3">
          <a:extLst>
            <a:ext uri="{FF2B5EF4-FFF2-40B4-BE49-F238E27FC236}">
              <a16:creationId xmlns:a16="http://schemas.microsoft.com/office/drawing/2014/main" id="{00000000-0008-0000-0B00-00000358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0</xdr:colOff>
      <xdr:row>3</xdr:row>
      <xdr:rowOff>152400</xdr:rowOff>
    </xdr:to>
    <xdr:sp macro="" textlink="">
      <xdr:nvSpPr>
        <xdr:cNvPr id="22532" name="Oval 4">
          <a:extLst>
            <a:ext uri="{FF2B5EF4-FFF2-40B4-BE49-F238E27FC236}">
              <a16:creationId xmlns:a16="http://schemas.microsoft.com/office/drawing/2014/main" id="{00000000-0008-0000-0B00-00000458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0</xdr:colOff>
      <xdr:row>3</xdr:row>
      <xdr:rowOff>9525</xdr:rowOff>
    </xdr:to>
    <xdr:sp macro="" textlink="">
      <xdr:nvSpPr>
        <xdr:cNvPr id="22533" name="Oval 5">
          <a:extLst>
            <a:ext uri="{FF2B5EF4-FFF2-40B4-BE49-F238E27FC236}">
              <a16:creationId xmlns:a16="http://schemas.microsoft.com/office/drawing/2014/main" id="{00000000-0008-0000-0B00-00000558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534" name="Oval 6">
          <a:extLst>
            <a:ext uri="{FF2B5EF4-FFF2-40B4-BE49-F238E27FC236}">
              <a16:creationId xmlns:a16="http://schemas.microsoft.com/office/drawing/2014/main" id="{00000000-0008-0000-0B00-0000065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535" name="Oval 7">
          <a:extLst>
            <a:ext uri="{FF2B5EF4-FFF2-40B4-BE49-F238E27FC236}">
              <a16:creationId xmlns:a16="http://schemas.microsoft.com/office/drawing/2014/main" id="{00000000-0008-0000-0B00-0000075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536" name="Oval 8">
          <a:extLst>
            <a:ext uri="{FF2B5EF4-FFF2-40B4-BE49-F238E27FC236}">
              <a16:creationId xmlns:a16="http://schemas.microsoft.com/office/drawing/2014/main" id="{00000000-0008-0000-0B00-0000085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22537" name="Oval 9">
          <a:extLst>
            <a:ext uri="{FF2B5EF4-FFF2-40B4-BE49-F238E27FC236}">
              <a16:creationId xmlns:a16="http://schemas.microsoft.com/office/drawing/2014/main" id="{00000000-0008-0000-0B00-0000095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538" name="Oval 10">
          <a:extLst>
            <a:ext uri="{FF2B5EF4-FFF2-40B4-BE49-F238E27FC236}">
              <a16:creationId xmlns:a16="http://schemas.microsoft.com/office/drawing/2014/main" id="{00000000-0008-0000-0B00-00000A5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539" name="Oval 11">
          <a:extLst>
            <a:ext uri="{FF2B5EF4-FFF2-40B4-BE49-F238E27FC236}">
              <a16:creationId xmlns:a16="http://schemas.microsoft.com/office/drawing/2014/main" id="{00000000-0008-0000-0B00-00000B58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</xdr:row>
      <xdr:rowOff>152400</xdr:rowOff>
    </xdr:from>
    <xdr:to>
      <xdr:col>0</xdr:col>
      <xdr:colOff>0</xdr:colOff>
      <xdr:row>2</xdr:row>
      <xdr:rowOff>152400</xdr:rowOff>
    </xdr:to>
    <xdr:sp macro="" textlink="">
      <xdr:nvSpPr>
        <xdr:cNvPr id="22540" name="Oval 12">
          <a:extLst>
            <a:ext uri="{FF2B5EF4-FFF2-40B4-BE49-F238E27FC236}">
              <a16:creationId xmlns:a16="http://schemas.microsoft.com/office/drawing/2014/main" id="{00000000-0008-0000-0B00-00000C580000}"/>
            </a:ext>
          </a:extLst>
        </xdr:cNvPr>
        <xdr:cNvSpPr>
          <a:spLocks noChangeArrowheads="1"/>
        </xdr:cNvSpPr>
      </xdr:nvSpPr>
      <xdr:spPr bwMode="auto">
        <a:xfrm>
          <a:off x="0" y="485775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22541" name="Oval 13">
          <a:extLst>
            <a:ext uri="{FF2B5EF4-FFF2-40B4-BE49-F238E27FC236}">
              <a16:creationId xmlns:a16="http://schemas.microsoft.com/office/drawing/2014/main" id="{00000000-0008-0000-0B00-00000D5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22542" name="Oval 14">
          <a:extLst>
            <a:ext uri="{FF2B5EF4-FFF2-40B4-BE49-F238E27FC236}">
              <a16:creationId xmlns:a16="http://schemas.microsoft.com/office/drawing/2014/main" id="{00000000-0008-0000-0B00-00000E5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9525</xdr:rowOff>
    </xdr:to>
    <xdr:sp macro="" textlink="">
      <xdr:nvSpPr>
        <xdr:cNvPr id="22543" name="Oval 15">
          <a:extLst>
            <a:ext uri="{FF2B5EF4-FFF2-40B4-BE49-F238E27FC236}">
              <a16:creationId xmlns:a16="http://schemas.microsoft.com/office/drawing/2014/main" id="{00000000-0008-0000-0B00-00000F580000}"/>
            </a:ext>
          </a:extLst>
        </xdr:cNvPr>
        <xdr:cNvSpPr>
          <a:spLocks noChangeArrowheads="1"/>
        </xdr:cNvSpPr>
      </xdr:nvSpPr>
      <xdr:spPr bwMode="auto">
        <a:xfrm>
          <a:off x="0" y="666750"/>
          <a:ext cx="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7</xdr:col>
      <xdr:colOff>171450</xdr:colOff>
      <xdr:row>4</xdr:row>
      <xdr:rowOff>0</xdr:rowOff>
    </xdr:to>
    <xdr:sp macro="" textlink="">
      <xdr:nvSpPr>
        <xdr:cNvPr id="22544" name="Oval 16">
          <a:extLst>
            <a:ext uri="{FF2B5EF4-FFF2-40B4-BE49-F238E27FC236}">
              <a16:creationId xmlns:a16="http://schemas.microsoft.com/office/drawing/2014/main" id="{00000000-0008-0000-0B00-000010580000}"/>
            </a:ext>
          </a:extLst>
        </xdr:cNvPr>
        <xdr:cNvSpPr>
          <a:spLocks noChangeArrowheads="1"/>
        </xdr:cNvSpPr>
      </xdr:nvSpPr>
      <xdr:spPr bwMode="auto">
        <a:xfrm>
          <a:off x="6238875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3</xdr:row>
      <xdr:rowOff>0</xdr:rowOff>
    </xdr:from>
    <xdr:to>
      <xdr:col>7</xdr:col>
      <xdr:colOff>333375</xdr:colOff>
      <xdr:row>4</xdr:row>
      <xdr:rowOff>0</xdr:rowOff>
    </xdr:to>
    <xdr:sp macro="" textlink="">
      <xdr:nvSpPr>
        <xdr:cNvPr id="22545" name="Oval 17">
          <a:extLst>
            <a:ext uri="{FF2B5EF4-FFF2-40B4-BE49-F238E27FC236}">
              <a16:creationId xmlns:a16="http://schemas.microsoft.com/office/drawing/2014/main" id="{00000000-0008-0000-0B00-000011580000}"/>
            </a:ext>
          </a:extLst>
        </xdr:cNvPr>
        <xdr:cNvSpPr>
          <a:spLocks noChangeArrowheads="1"/>
        </xdr:cNvSpPr>
      </xdr:nvSpPr>
      <xdr:spPr bwMode="auto">
        <a:xfrm>
          <a:off x="6400800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2</xdr:row>
      <xdr:rowOff>152400</xdr:rowOff>
    </xdr:from>
    <xdr:to>
      <xdr:col>7</xdr:col>
      <xdr:colOff>495300</xdr:colOff>
      <xdr:row>3</xdr:row>
      <xdr:rowOff>152400</xdr:rowOff>
    </xdr:to>
    <xdr:sp macro="" textlink="">
      <xdr:nvSpPr>
        <xdr:cNvPr id="22546" name="Oval 18">
          <a:extLst>
            <a:ext uri="{FF2B5EF4-FFF2-40B4-BE49-F238E27FC236}">
              <a16:creationId xmlns:a16="http://schemas.microsoft.com/office/drawing/2014/main" id="{00000000-0008-0000-0B00-000012580000}"/>
            </a:ext>
          </a:extLst>
        </xdr:cNvPr>
        <xdr:cNvSpPr>
          <a:spLocks noChangeArrowheads="1"/>
        </xdr:cNvSpPr>
      </xdr:nvSpPr>
      <xdr:spPr bwMode="auto">
        <a:xfrm>
          <a:off x="6562725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504825</xdr:colOff>
      <xdr:row>2</xdr:row>
      <xdr:rowOff>152400</xdr:rowOff>
    </xdr:from>
    <xdr:to>
      <xdr:col>7</xdr:col>
      <xdr:colOff>657225</xdr:colOff>
      <xdr:row>3</xdr:row>
      <xdr:rowOff>152400</xdr:rowOff>
    </xdr:to>
    <xdr:sp macro="" textlink="">
      <xdr:nvSpPr>
        <xdr:cNvPr id="22547" name="Oval 19">
          <a:extLst>
            <a:ext uri="{FF2B5EF4-FFF2-40B4-BE49-F238E27FC236}">
              <a16:creationId xmlns:a16="http://schemas.microsoft.com/office/drawing/2014/main" id="{00000000-0008-0000-0B00-000013580000}"/>
            </a:ext>
          </a:extLst>
        </xdr:cNvPr>
        <xdr:cNvSpPr>
          <a:spLocks noChangeArrowheads="1"/>
        </xdr:cNvSpPr>
      </xdr:nvSpPr>
      <xdr:spPr bwMode="auto">
        <a:xfrm>
          <a:off x="6724650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2</xdr:row>
      <xdr:rowOff>9525</xdr:rowOff>
    </xdr:from>
    <xdr:to>
      <xdr:col>7</xdr:col>
      <xdr:colOff>247650</xdr:colOff>
      <xdr:row>3</xdr:row>
      <xdr:rowOff>9525</xdr:rowOff>
    </xdr:to>
    <xdr:sp macro="" textlink="">
      <xdr:nvSpPr>
        <xdr:cNvPr id="22548" name="Oval 20">
          <a:extLst>
            <a:ext uri="{FF2B5EF4-FFF2-40B4-BE49-F238E27FC236}">
              <a16:creationId xmlns:a16="http://schemas.microsoft.com/office/drawing/2014/main" id="{00000000-0008-0000-0B00-000014580000}"/>
            </a:ext>
          </a:extLst>
        </xdr:cNvPr>
        <xdr:cNvSpPr>
          <a:spLocks noChangeArrowheads="1"/>
        </xdr:cNvSpPr>
      </xdr:nvSpPr>
      <xdr:spPr bwMode="auto">
        <a:xfrm>
          <a:off x="6315075" y="5048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2</xdr:row>
      <xdr:rowOff>0</xdr:rowOff>
    </xdr:from>
    <xdr:to>
      <xdr:col>7</xdr:col>
      <xdr:colOff>409575</xdr:colOff>
      <xdr:row>3</xdr:row>
      <xdr:rowOff>0</xdr:rowOff>
    </xdr:to>
    <xdr:sp macro="" textlink="">
      <xdr:nvSpPr>
        <xdr:cNvPr id="22549" name="Oval 21">
          <a:extLst>
            <a:ext uri="{FF2B5EF4-FFF2-40B4-BE49-F238E27FC236}">
              <a16:creationId xmlns:a16="http://schemas.microsoft.com/office/drawing/2014/main" id="{00000000-0008-0000-0B00-000015580000}"/>
            </a:ext>
          </a:extLst>
        </xdr:cNvPr>
        <xdr:cNvSpPr>
          <a:spLocks noChangeArrowheads="1"/>
        </xdr:cNvSpPr>
      </xdr:nvSpPr>
      <xdr:spPr bwMode="auto">
        <a:xfrm>
          <a:off x="64770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2</xdr:row>
      <xdr:rowOff>0</xdr:rowOff>
    </xdr:from>
    <xdr:to>
      <xdr:col>7</xdr:col>
      <xdr:colOff>571500</xdr:colOff>
      <xdr:row>3</xdr:row>
      <xdr:rowOff>0</xdr:rowOff>
    </xdr:to>
    <xdr:sp macro="" textlink="">
      <xdr:nvSpPr>
        <xdr:cNvPr id="22550" name="Oval 22">
          <a:extLst>
            <a:ext uri="{FF2B5EF4-FFF2-40B4-BE49-F238E27FC236}">
              <a16:creationId xmlns:a16="http://schemas.microsoft.com/office/drawing/2014/main" id="{00000000-0008-0000-0B00-000016580000}"/>
            </a:ext>
          </a:extLst>
        </xdr:cNvPr>
        <xdr:cNvSpPr>
          <a:spLocks noChangeArrowheads="1"/>
        </xdr:cNvSpPr>
      </xdr:nvSpPr>
      <xdr:spPr bwMode="auto">
        <a:xfrm>
          <a:off x="6638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</xdr:row>
      <xdr:rowOff>0</xdr:rowOff>
    </xdr:from>
    <xdr:to>
      <xdr:col>8</xdr:col>
      <xdr:colOff>190500</xdr:colOff>
      <xdr:row>3</xdr:row>
      <xdr:rowOff>0</xdr:rowOff>
    </xdr:to>
    <xdr:sp macro="" textlink="">
      <xdr:nvSpPr>
        <xdr:cNvPr id="22551" name="Oval 23">
          <a:extLst>
            <a:ext uri="{FF2B5EF4-FFF2-40B4-BE49-F238E27FC236}">
              <a16:creationId xmlns:a16="http://schemas.microsoft.com/office/drawing/2014/main" id="{00000000-0008-0000-0B00-000017580000}"/>
            </a:ext>
          </a:extLst>
        </xdr:cNvPr>
        <xdr:cNvSpPr>
          <a:spLocks noChangeArrowheads="1"/>
        </xdr:cNvSpPr>
      </xdr:nvSpPr>
      <xdr:spPr bwMode="auto">
        <a:xfrm>
          <a:off x="7019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542925</xdr:colOff>
      <xdr:row>3</xdr:row>
      <xdr:rowOff>9525</xdr:rowOff>
    </xdr:from>
    <xdr:to>
      <xdr:col>8</xdr:col>
      <xdr:colOff>695325</xdr:colOff>
      <xdr:row>4</xdr:row>
      <xdr:rowOff>9525</xdr:rowOff>
    </xdr:to>
    <xdr:sp macro="" textlink="">
      <xdr:nvSpPr>
        <xdr:cNvPr id="22552" name="Oval 24">
          <a:extLst>
            <a:ext uri="{FF2B5EF4-FFF2-40B4-BE49-F238E27FC236}">
              <a16:creationId xmlns:a16="http://schemas.microsoft.com/office/drawing/2014/main" id="{00000000-0008-0000-0B00-000018580000}"/>
            </a:ext>
          </a:extLst>
        </xdr:cNvPr>
        <xdr:cNvSpPr>
          <a:spLocks noChangeArrowheads="1"/>
        </xdr:cNvSpPr>
      </xdr:nvSpPr>
      <xdr:spPr bwMode="auto">
        <a:xfrm>
          <a:off x="75247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8</xdr:col>
      <xdr:colOff>209550</xdr:colOff>
      <xdr:row>2</xdr:row>
      <xdr:rowOff>0</xdr:rowOff>
    </xdr:from>
    <xdr:to>
      <xdr:col>8</xdr:col>
      <xdr:colOff>361950</xdr:colOff>
      <xdr:row>3</xdr:row>
      <xdr:rowOff>0</xdr:rowOff>
    </xdr:to>
    <xdr:sp macro="" textlink="">
      <xdr:nvSpPr>
        <xdr:cNvPr id="22553" name="Oval 25">
          <a:extLst>
            <a:ext uri="{FF2B5EF4-FFF2-40B4-BE49-F238E27FC236}">
              <a16:creationId xmlns:a16="http://schemas.microsoft.com/office/drawing/2014/main" id="{00000000-0008-0000-0B00-000019580000}"/>
            </a:ext>
          </a:extLst>
        </xdr:cNvPr>
        <xdr:cNvSpPr>
          <a:spLocks noChangeArrowheads="1"/>
        </xdr:cNvSpPr>
      </xdr:nvSpPr>
      <xdr:spPr bwMode="auto">
        <a:xfrm>
          <a:off x="719137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523875</xdr:colOff>
      <xdr:row>3</xdr:row>
      <xdr:rowOff>0</xdr:rowOff>
    </xdr:to>
    <xdr:sp macro="" textlink="">
      <xdr:nvSpPr>
        <xdr:cNvPr id="22554" name="Oval 26">
          <a:extLst>
            <a:ext uri="{FF2B5EF4-FFF2-40B4-BE49-F238E27FC236}">
              <a16:creationId xmlns:a16="http://schemas.microsoft.com/office/drawing/2014/main" id="{00000000-0008-0000-0B00-00001A580000}"/>
            </a:ext>
          </a:extLst>
        </xdr:cNvPr>
        <xdr:cNvSpPr>
          <a:spLocks noChangeArrowheads="1"/>
        </xdr:cNvSpPr>
      </xdr:nvSpPr>
      <xdr:spPr bwMode="auto">
        <a:xfrm>
          <a:off x="73533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1</xdr:row>
      <xdr:rowOff>152400</xdr:rowOff>
    </xdr:from>
    <xdr:to>
      <xdr:col>8</xdr:col>
      <xdr:colOff>685800</xdr:colOff>
      <xdr:row>2</xdr:row>
      <xdr:rowOff>152400</xdr:rowOff>
    </xdr:to>
    <xdr:sp macro="" textlink="">
      <xdr:nvSpPr>
        <xdr:cNvPr id="22555" name="Oval 27">
          <a:extLst>
            <a:ext uri="{FF2B5EF4-FFF2-40B4-BE49-F238E27FC236}">
              <a16:creationId xmlns:a16="http://schemas.microsoft.com/office/drawing/2014/main" id="{00000000-0008-0000-0B00-00001B580000}"/>
            </a:ext>
          </a:extLst>
        </xdr:cNvPr>
        <xdr:cNvSpPr>
          <a:spLocks noChangeArrowheads="1"/>
        </xdr:cNvSpPr>
      </xdr:nvSpPr>
      <xdr:spPr bwMode="auto">
        <a:xfrm>
          <a:off x="7515225" y="4857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3</xdr:row>
      <xdr:rowOff>9525</xdr:rowOff>
    </xdr:from>
    <xdr:to>
      <xdr:col>8</xdr:col>
      <xdr:colOff>200025</xdr:colOff>
      <xdr:row>4</xdr:row>
      <xdr:rowOff>9525</xdr:rowOff>
    </xdr:to>
    <xdr:sp macro="" textlink="">
      <xdr:nvSpPr>
        <xdr:cNvPr id="22556" name="Oval 28">
          <a:extLst>
            <a:ext uri="{FF2B5EF4-FFF2-40B4-BE49-F238E27FC236}">
              <a16:creationId xmlns:a16="http://schemas.microsoft.com/office/drawing/2014/main" id="{00000000-0008-0000-0B00-00001C580000}"/>
            </a:ext>
          </a:extLst>
        </xdr:cNvPr>
        <xdr:cNvSpPr>
          <a:spLocks noChangeArrowheads="1"/>
        </xdr:cNvSpPr>
      </xdr:nvSpPr>
      <xdr:spPr bwMode="auto">
        <a:xfrm>
          <a:off x="70294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219075</xdr:colOff>
      <xdr:row>3</xdr:row>
      <xdr:rowOff>9525</xdr:rowOff>
    </xdr:from>
    <xdr:to>
      <xdr:col>8</xdr:col>
      <xdr:colOff>371475</xdr:colOff>
      <xdr:row>4</xdr:row>
      <xdr:rowOff>9525</xdr:rowOff>
    </xdr:to>
    <xdr:sp macro="" textlink="">
      <xdr:nvSpPr>
        <xdr:cNvPr id="22557" name="Oval 29">
          <a:extLst>
            <a:ext uri="{FF2B5EF4-FFF2-40B4-BE49-F238E27FC236}">
              <a16:creationId xmlns:a16="http://schemas.microsoft.com/office/drawing/2014/main" id="{00000000-0008-0000-0B00-00001D580000}"/>
            </a:ext>
          </a:extLst>
        </xdr:cNvPr>
        <xdr:cNvSpPr>
          <a:spLocks noChangeArrowheads="1"/>
        </xdr:cNvSpPr>
      </xdr:nvSpPr>
      <xdr:spPr bwMode="auto">
        <a:xfrm>
          <a:off x="720090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3</xdr:row>
      <xdr:rowOff>9525</xdr:rowOff>
    </xdr:from>
    <xdr:to>
      <xdr:col>8</xdr:col>
      <xdr:colOff>542925</xdr:colOff>
      <xdr:row>4</xdr:row>
      <xdr:rowOff>9525</xdr:rowOff>
    </xdr:to>
    <xdr:sp macro="" textlink="">
      <xdr:nvSpPr>
        <xdr:cNvPr id="22558" name="Oval 30">
          <a:extLst>
            <a:ext uri="{FF2B5EF4-FFF2-40B4-BE49-F238E27FC236}">
              <a16:creationId xmlns:a16="http://schemas.microsoft.com/office/drawing/2014/main" id="{00000000-0008-0000-0B00-00001E580000}"/>
            </a:ext>
          </a:extLst>
        </xdr:cNvPr>
        <xdr:cNvSpPr>
          <a:spLocks noChangeArrowheads="1"/>
        </xdr:cNvSpPr>
      </xdr:nvSpPr>
      <xdr:spPr bwMode="auto">
        <a:xfrm>
          <a:off x="73723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7</xdr:col>
      <xdr:colOff>171450</xdr:colOff>
      <xdr:row>4</xdr:row>
      <xdr:rowOff>0</xdr:rowOff>
    </xdr:to>
    <xdr:sp macro="" textlink="">
      <xdr:nvSpPr>
        <xdr:cNvPr id="22559" name="Oval 31">
          <a:extLst>
            <a:ext uri="{FF2B5EF4-FFF2-40B4-BE49-F238E27FC236}">
              <a16:creationId xmlns:a16="http://schemas.microsoft.com/office/drawing/2014/main" id="{00000000-0008-0000-0B00-00001F580000}"/>
            </a:ext>
          </a:extLst>
        </xdr:cNvPr>
        <xdr:cNvSpPr>
          <a:spLocks noChangeArrowheads="1"/>
        </xdr:cNvSpPr>
      </xdr:nvSpPr>
      <xdr:spPr bwMode="auto">
        <a:xfrm>
          <a:off x="6238875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3</xdr:row>
      <xdr:rowOff>0</xdr:rowOff>
    </xdr:from>
    <xdr:to>
      <xdr:col>7</xdr:col>
      <xdr:colOff>333375</xdr:colOff>
      <xdr:row>4</xdr:row>
      <xdr:rowOff>0</xdr:rowOff>
    </xdr:to>
    <xdr:sp macro="" textlink="">
      <xdr:nvSpPr>
        <xdr:cNvPr id="22560" name="Oval 32">
          <a:extLst>
            <a:ext uri="{FF2B5EF4-FFF2-40B4-BE49-F238E27FC236}">
              <a16:creationId xmlns:a16="http://schemas.microsoft.com/office/drawing/2014/main" id="{00000000-0008-0000-0B00-000020580000}"/>
            </a:ext>
          </a:extLst>
        </xdr:cNvPr>
        <xdr:cNvSpPr>
          <a:spLocks noChangeArrowheads="1"/>
        </xdr:cNvSpPr>
      </xdr:nvSpPr>
      <xdr:spPr bwMode="auto">
        <a:xfrm>
          <a:off x="6400800" y="6572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2</xdr:row>
      <xdr:rowOff>152400</xdr:rowOff>
    </xdr:from>
    <xdr:to>
      <xdr:col>7</xdr:col>
      <xdr:colOff>495300</xdr:colOff>
      <xdr:row>3</xdr:row>
      <xdr:rowOff>152400</xdr:rowOff>
    </xdr:to>
    <xdr:sp macro="" textlink="">
      <xdr:nvSpPr>
        <xdr:cNvPr id="22561" name="Oval 33">
          <a:extLst>
            <a:ext uri="{FF2B5EF4-FFF2-40B4-BE49-F238E27FC236}">
              <a16:creationId xmlns:a16="http://schemas.microsoft.com/office/drawing/2014/main" id="{00000000-0008-0000-0B00-000021580000}"/>
            </a:ext>
          </a:extLst>
        </xdr:cNvPr>
        <xdr:cNvSpPr>
          <a:spLocks noChangeArrowheads="1"/>
        </xdr:cNvSpPr>
      </xdr:nvSpPr>
      <xdr:spPr bwMode="auto">
        <a:xfrm>
          <a:off x="6562725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504825</xdr:colOff>
      <xdr:row>2</xdr:row>
      <xdr:rowOff>152400</xdr:rowOff>
    </xdr:from>
    <xdr:to>
      <xdr:col>7</xdr:col>
      <xdr:colOff>657225</xdr:colOff>
      <xdr:row>3</xdr:row>
      <xdr:rowOff>152400</xdr:rowOff>
    </xdr:to>
    <xdr:sp macro="" textlink="">
      <xdr:nvSpPr>
        <xdr:cNvPr id="22562" name="Oval 34">
          <a:extLst>
            <a:ext uri="{FF2B5EF4-FFF2-40B4-BE49-F238E27FC236}">
              <a16:creationId xmlns:a16="http://schemas.microsoft.com/office/drawing/2014/main" id="{00000000-0008-0000-0B00-000022580000}"/>
            </a:ext>
          </a:extLst>
        </xdr:cNvPr>
        <xdr:cNvSpPr>
          <a:spLocks noChangeArrowheads="1"/>
        </xdr:cNvSpPr>
      </xdr:nvSpPr>
      <xdr:spPr bwMode="auto">
        <a:xfrm>
          <a:off x="6724650" y="6477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95250</xdr:colOff>
      <xdr:row>2</xdr:row>
      <xdr:rowOff>9525</xdr:rowOff>
    </xdr:from>
    <xdr:to>
      <xdr:col>7</xdr:col>
      <xdr:colOff>247650</xdr:colOff>
      <xdr:row>3</xdr:row>
      <xdr:rowOff>9525</xdr:rowOff>
    </xdr:to>
    <xdr:sp macro="" textlink="">
      <xdr:nvSpPr>
        <xdr:cNvPr id="22563" name="Oval 35">
          <a:extLst>
            <a:ext uri="{FF2B5EF4-FFF2-40B4-BE49-F238E27FC236}">
              <a16:creationId xmlns:a16="http://schemas.microsoft.com/office/drawing/2014/main" id="{00000000-0008-0000-0B00-000023580000}"/>
            </a:ext>
          </a:extLst>
        </xdr:cNvPr>
        <xdr:cNvSpPr>
          <a:spLocks noChangeArrowheads="1"/>
        </xdr:cNvSpPr>
      </xdr:nvSpPr>
      <xdr:spPr bwMode="auto">
        <a:xfrm>
          <a:off x="6315075" y="50482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257175</xdr:colOff>
      <xdr:row>2</xdr:row>
      <xdr:rowOff>0</xdr:rowOff>
    </xdr:from>
    <xdr:to>
      <xdr:col>7</xdr:col>
      <xdr:colOff>409575</xdr:colOff>
      <xdr:row>3</xdr:row>
      <xdr:rowOff>0</xdr:rowOff>
    </xdr:to>
    <xdr:sp macro="" textlink="">
      <xdr:nvSpPr>
        <xdr:cNvPr id="22564" name="Oval 36">
          <a:extLst>
            <a:ext uri="{FF2B5EF4-FFF2-40B4-BE49-F238E27FC236}">
              <a16:creationId xmlns:a16="http://schemas.microsoft.com/office/drawing/2014/main" id="{00000000-0008-0000-0B00-000024580000}"/>
            </a:ext>
          </a:extLst>
        </xdr:cNvPr>
        <xdr:cNvSpPr>
          <a:spLocks noChangeArrowheads="1"/>
        </xdr:cNvSpPr>
      </xdr:nvSpPr>
      <xdr:spPr bwMode="auto">
        <a:xfrm>
          <a:off x="64770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419100</xdr:colOff>
      <xdr:row>2</xdr:row>
      <xdr:rowOff>0</xdr:rowOff>
    </xdr:from>
    <xdr:to>
      <xdr:col>7</xdr:col>
      <xdr:colOff>571500</xdr:colOff>
      <xdr:row>3</xdr:row>
      <xdr:rowOff>0</xdr:rowOff>
    </xdr:to>
    <xdr:sp macro="" textlink="">
      <xdr:nvSpPr>
        <xdr:cNvPr id="22565" name="Oval 37">
          <a:extLst>
            <a:ext uri="{FF2B5EF4-FFF2-40B4-BE49-F238E27FC236}">
              <a16:creationId xmlns:a16="http://schemas.microsoft.com/office/drawing/2014/main" id="{00000000-0008-0000-0B00-000025580000}"/>
            </a:ext>
          </a:extLst>
        </xdr:cNvPr>
        <xdr:cNvSpPr>
          <a:spLocks noChangeArrowheads="1"/>
        </xdr:cNvSpPr>
      </xdr:nvSpPr>
      <xdr:spPr bwMode="auto">
        <a:xfrm>
          <a:off x="6638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2</xdr:row>
      <xdr:rowOff>0</xdr:rowOff>
    </xdr:from>
    <xdr:to>
      <xdr:col>8</xdr:col>
      <xdr:colOff>190500</xdr:colOff>
      <xdr:row>3</xdr:row>
      <xdr:rowOff>0</xdr:rowOff>
    </xdr:to>
    <xdr:sp macro="" textlink="">
      <xdr:nvSpPr>
        <xdr:cNvPr id="22566" name="Oval 38">
          <a:extLst>
            <a:ext uri="{FF2B5EF4-FFF2-40B4-BE49-F238E27FC236}">
              <a16:creationId xmlns:a16="http://schemas.microsoft.com/office/drawing/2014/main" id="{00000000-0008-0000-0B00-000026580000}"/>
            </a:ext>
          </a:extLst>
        </xdr:cNvPr>
        <xdr:cNvSpPr>
          <a:spLocks noChangeArrowheads="1"/>
        </xdr:cNvSpPr>
      </xdr:nvSpPr>
      <xdr:spPr bwMode="auto">
        <a:xfrm>
          <a:off x="701992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542925</xdr:colOff>
      <xdr:row>3</xdr:row>
      <xdr:rowOff>9525</xdr:rowOff>
    </xdr:from>
    <xdr:to>
      <xdr:col>8</xdr:col>
      <xdr:colOff>695325</xdr:colOff>
      <xdr:row>4</xdr:row>
      <xdr:rowOff>9525</xdr:rowOff>
    </xdr:to>
    <xdr:sp macro="" textlink="">
      <xdr:nvSpPr>
        <xdr:cNvPr id="22567" name="Oval 39">
          <a:extLst>
            <a:ext uri="{FF2B5EF4-FFF2-40B4-BE49-F238E27FC236}">
              <a16:creationId xmlns:a16="http://schemas.microsoft.com/office/drawing/2014/main" id="{00000000-0008-0000-0B00-000027580000}"/>
            </a:ext>
          </a:extLst>
        </xdr:cNvPr>
        <xdr:cNvSpPr>
          <a:spLocks noChangeArrowheads="1"/>
        </xdr:cNvSpPr>
      </xdr:nvSpPr>
      <xdr:spPr bwMode="auto">
        <a:xfrm>
          <a:off x="75247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endParaRPr lang="de-CH"/>
        </a:p>
      </xdr:txBody>
    </xdr:sp>
    <xdr:clientData/>
  </xdr:twoCellAnchor>
  <xdr:twoCellAnchor>
    <xdr:from>
      <xdr:col>8</xdr:col>
      <xdr:colOff>209550</xdr:colOff>
      <xdr:row>2</xdr:row>
      <xdr:rowOff>0</xdr:rowOff>
    </xdr:from>
    <xdr:to>
      <xdr:col>8</xdr:col>
      <xdr:colOff>361950</xdr:colOff>
      <xdr:row>3</xdr:row>
      <xdr:rowOff>0</xdr:rowOff>
    </xdr:to>
    <xdr:sp macro="" textlink="">
      <xdr:nvSpPr>
        <xdr:cNvPr id="22568" name="Oval 40">
          <a:extLst>
            <a:ext uri="{FF2B5EF4-FFF2-40B4-BE49-F238E27FC236}">
              <a16:creationId xmlns:a16="http://schemas.microsoft.com/office/drawing/2014/main" id="{00000000-0008-0000-0B00-000028580000}"/>
            </a:ext>
          </a:extLst>
        </xdr:cNvPr>
        <xdr:cNvSpPr>
          <a:spLocks noChangeArrowheads="1"/>
        </xdr:cNvSpPr>
      </xdr:nvSpPr>
      <xdr:spPr bwMode="auto">
        <a:xfrm>
          <a:off x="7191375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523875</xdr:colOff>
      <xdr:row>3</xdr:row>
      <xdr:rowOff>0</xdr:rowOff>
    </xdr:to>
    <xdr:sp macro="" textlink="">
      <xdr:nvSpPr>
        <xdr:cNvPr id="22569" name="Oval 41">
          <a:extLst>
            <a:ext uri="{FF2B5EF4-FFF2-40B4-BE49-F238E27FC236}">
              <a16:creationId xmlns:a16="http://schemas.microsoft.com/office/drawing/2014/main" id="{00000000-0008-0000-0B00-000029580000}"/>
            </a:ext>
          </a:extLst>
        </xdr:cNvPr>
        <xdr:cNvSpPr>
          <a:spLocks noChangeArrowheads="1"/>
        </xdr:cNvSpPr>
      </xdr:nvSpPr>
      <xdr:spPr bwMode="auto">
        <a:xfrm>
          <a:off x="7353300" y="4953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1</xdr:row>
      <xdr:rowOff>152400</xdr:rowOff>
    </xdr:from>
    <xdr:to>
      <xdr:col>8</xdr:col>
      <xdr:colOff>685800</xdr:colOff>
      <xdr:row>2</xdr:row>
      <xdr:rowOff>152400</xdr:rowOff>
    </xdr:to>
    <xdr:sp macro="" textlink="">
      <xdr:nvSpPr>
        <xdr:cNvPr id="22570" name="Oval 42">
          <a:extLst>
            <a:ext uri="{FF2B5EF4-FFF2-40B4-BE49-F238E27FC236}">
              <a16:creationId xmlns:a16="http://schemas.microsoft.com/office/drawing/2014/main" id="{00000000-0008-0000-0B00-00002A580000}"/>
            </a:ext>
          </a:extLst>
        </xdr:cNvPr>
        <xdr:cNvSpPr>
          <a:spLocks noChangeArrowheads="1"/>
        </xdr:cNvSpPr>
      </xdr:nvSpPr>
      <xdr:spPr bwMode="auto">
        <a:xfrm>
          <a:off x="7515225" y="4857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3</xdr:row>
      <xdr:rowOff>9525</xdr:rowOff>
    </xdr:from>
    <xdr:to>
      <xdr:col>8</xdr:col>
      <xdr:colOff>200025</xdr:colOff>
      <xdr:row>4</xdr:row>
      <xdr:rowOff>9525</xdr:rowOff>
    </xdr:to>
    <xdr:sp macro="" textlink="">
      <xdr:nvSpPr>
        <xdr:cNvPr id="22571" name="Oval 43">
          <a:extLst>
            <a:ext uri="{FF2B5EF4-FFF2-40B4-BE49-F238E27FC236}">
              <a16:creationId xmlns:a16="http://schemas.microsoft.com/office/drawing/2014/main" id="{00000000-0008-0000-0B00-00002B580000}"/>
            </a:ext>
          </a:extLst>
        </xdr:cNvPr>
        <xdr:cNvSpPr>
          <a:spLocks noChangeArrowheads="1"/>
        </xdr:cNvSpPr>
      </xdr:nvSpPr>
      <xdr:spPr bwMode="auto">
        <a:xfrm>
          <a:off x="70294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219075</xdr:colOff>
      <xdr:row>3</xdr:row>
      <xdr:rowOff>9525</xdr:rowOff>
    </xdr:from>
    <xdr:to>
      <xdr:col>8</xdr:col>
      <xdr:colOff>371475</xdr:colOff>
      <xdr:row>4</xdr:row>
      <xdr:rowOff>9525</xdr:rowOff>
    </xdr:to>
    <xdr:sp macro="" textlink="">
      <xdr:nvSpPr>
        <xdr:cNvPr id="22572" name="Oval 44">
          <a:extLst>
            <a:ext uri="{FF2B5EF4-FFF2-40B4-BE49-F238E27FC236}">
              <a16:creationId xmlns:a16="http://schemas.microsoft.com/office/drawing/2014/main" id="{00000000-0008-0000-0B00-00002C580000}"/>
            </a:ext>
          </a:extLst>
        </xdr:cNvPr>
        <xdr:cNvSpPr>
          <a:spLocks noChangeArrowheads="1"/>
        </xdr:cNvSpPr>
      </xdr:nvSpPr>
      <xdr:spPr bwMode="auto">
        <a:xfrm>
          <a:off x="720090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3</xdr:row>
      <xdr:rowOff>9525</xdr:rowOff>
    </xdr:from>
    <xdr:to>
      <xdr:col>8</xdr:col>
      <xdr:colOff>542925</xdr:colOff>
      <xdr:row>4</xdr:row>
      <xdr:rowOff>9525</xdr:rowOff>
    </xdr:to>
    <xdr:sp macro="" textlink="">
      <xdr:nvSpPr>
        <xdr:cNvPr id="22573" name="Oval 45">
          <a:extLst>
            <a:ext uri="{FF2B5EF4-FFF2-40B4-BE49-F238E27FC236}">
              <a16:creationId xmlns:a16="http://schemas.microsoft.com/office/drawing/2014/main" id="{00000000-0008-0000-0B00-00002D580000}"/>
            </a:ext>
          </a:extLst>
        </xdr:cNvPr>
        <xdr:cNvSpPr>
          <a:spLocks noChangeArrowheads="1"/>
        </xdr:cNvSpPr>
      </xdr:nvSpPr>
      <xdr:spPr bwMode="auto">
        <a:xfrm>
          <a:off x="7372350" y="6667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1</xdr:row>
      <xdr:rowOff>9525</xdr:rowOff>
    </xdr:from>
    <xdr:to>
      <xdr:col>7</xdr:col>
      <xdr:colOff>171450</xdr:colOff>
      <xdr:row>2</xdr:row>
      <xdr:rowOff>9525</xdr:rowOff>
    </xdr:to>
    <xdr:sp macro="" textlink="">
      <xdr:nvSpPr>
        <xdr:cNvPr id="22574" name="Oval 46">
          <a:extLst>
            <a:ext uri="{FF2B5EF4-FFF2-40B4-BE49-F238E27FC236}">
              <a16:creationId xmlns:a16="http://schemas.microsoft.com/office/drawing/2014/main" id="{00000000-0008-0000-0B00-00002E580000}"/>
            </a:ext>
          </a:extLst>
        </xdr:cNvPr>
        <xdr:cNvSpPr>
          <a:spLocks noChangeArrowheads="1"/>
        </xdr:cNvSpPr>
      </xdr:nvSpPr>
      <xdr:spPr bwMode="auto">
        <a:xfrm>
          <a:off x="6238875" y="3429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1</xdr:row>
      <xdr:rowOff>9525</xdr:rowOff>
    </xdr:from>
    <xdr:to>
      <xdr:col>7</xdr:col>
      <xdr:colOff>333375</xdr:colOff>
      <xdr:row>2</xdr:row>
      <xdr:rowOff>9525</xdr:rowOff>
    </xdr:to>
    <xdr:sp macro="" textlink="">
      <xdr:nvSpPr>
        <xdr:cNvPr id="22575" name="Oval 47">
          <a:extLst>
            <a:ext uri="{FF2B5EF4-FFF2-40B4-BE49-F238E27FC236}">
              <a16:creationId xmlns:a16="http://schemas.microsoft.com/office/drawing/2014/main" id="{00000000-0008-0000-0B00-00002F580000}"/>
            </a:ext>
          </a:extLst>
        </xdr:cNvPr>
        <xdr:cNvSpPr>
          <a:spLocks noChangeArrowheads="1"/>
        </xdr:cNvSpPr>
      </xdr:nvSpPr>
      <xdr:spPr bwMode="auto">
        <a:xfrm>
          <a:off x="6400800" y="34290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</xdr:row>
      <xdr:rowOff>0</xdr:rowOff>
    </xdr:from>
    <xdr:to>
      <xdr:col>8</xdr:col>
      <xdr:colOff>190500</xdr:colOff>
      <xdr:row>2</xdr:row>
      <xdr:rowOff>0</xdr:rowOff>
    </xdr:to>
    <xdr:sp macro="" textlink="">
      <xdr:nvSpPr>
        <xdr:cNvPr id="22576" name="Oval 48">
          <a:extLst>
            <a:ext uri="{FF2B5EF4-FFF2-40B4-BE49-F238E27FC236}">
              <a16:creationId xmlns:a16="http://schemas.microsoft.com/office/drawing/2014/main" id="{00000000-0008-0000-0B00-000030580000}"/>
            </a:ext>
          </a:extLst>
        </xdr:cNvPr>
        <xdr:cNvSpPr>
          <a:spLocks noChangeArrowheads="1"/>
        </xdr:cNvSpPr>
      </xdr:nvSpPr>
      <xdr:spPr bwMode="auto">
        <a:xfrm>
          <a:off x="70199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209550</xdr:colOff>
      <xdr:row>1</xdr:row>
      <xdr:rowOff>0</xdr:rowOff>
    </xdr:from>
    <xdr:to>
      <xdr:col>8</xdr:col>
      <xdr:colOff>361950</xdr:colOff>
      <xdr:row>2</xdr:row>
      <xdr:rowOff>0</xdr:rowOff>
    </xdr:to>
    <xdr:sp macro="" textlink="">
      <xdr:nvSpPr>
        <xdr:cNvPr id="22577" name="Oval 49">
          <a:extLst>
            <a:ext uri="{FF2B5EF4-FFF2-40B4-BE49-F238E27FC236}">
              <a16:creationId xmlns:a16="http://schemas.microsoft.com/office/drawing/2014/main" id="{00000000-0008-0000-0B00-000031580000}"/>
            </a:ext>
          </a:extLst>
        </xdr:cNvPr>
        <xdr:cNvSpPr>
          <a:spLocks noChangeArrowheads="1"/>
        </xdr:cNvSpPr>
      </xdr:nvSpPr>
      <xdr:spPr bwMode="auto">
        <a:xfrm>
          <a:off x="719137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1</xdr:row>
      <xdr:rowOff>0</xdr:rowOff>
    </xdr:from>
    <xdr:to>
      <xdr:col>8</xdr:col>
      <xdr:colOff>523875</xdr:colOff>
      <xdr:row>2</xdr:row>
      <xdr:rowOff>0</xdr:rowOff>
    </xdr:to>
    <xdr:sp macro="" textlink="">
      <xdr:nvSpPr>
        <xdr:cNvPr id="22578" name="Oval 50">
          <a:extLst>
            <a:ext uri="{FF2B5EF4-FFF2-40B4-BE49-F238E27FC236}">
              <a16:creationId xmlns:a16="http://schemas.microsoft.com/office/drawing/2014/main" id="{00000000-0008-0000-0B00-000032580000}"/>
            </a:ext>
          </a:extLst>
        </xdr:cNvPr>
        <xdr:cNvSpPr>
          <a:spLocks noChangeArrowheads="1"/>
        </xdr:cNvSpPr>
      </xdr:nvSpPr>
      <xdr:spPr bwMode="auto">
        <a:xfrm>
          <a:off x="7353300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533400</xdr:colOff>
      <xdr:row>0</xdr:row>
      <xdr:rowOff>323850</xdr:rowOff>
    </xdr:from>
    <xdr:to>
      <xdr:col>8</xdr:col>
      <xdr:colOff>685800</xdr:colOff>
      <xdr:row>1</xdr:row>
      <xdr:rowOff>152400</xdr:rowOff>
    </xdr:to>
    <xdr:sp macro="" textlink="">
      <xdr:nvSpPr>
        <xdr:cNvPr id="22579" name="Oval 51">
          <a:extLst>
            <a:ext uri="{FF2B5EF4-FFF2-40B4-BE49-F238E27FC236}">
              <a16:creationId xmlns:a16="http://schemas.microsoft.com/office/drawing/2014/main" id="{00000000-0008-0000-0B00-000033580000}"/>
            </a:ext>
          </a:extLst>
        </xdr:cNvPr>
        <xdr:cNvSpPr>
          <a:spLocks noChangeArrowheads="1"/>
        </xdr:cNvSpPr>
      </xdr:nvSpPr>
      <xdr:spPr bwMode="auto">
        <a:xfrm>
          <a:off x="7515225" y="323850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495300</xdr:colOff>
      <xdr:row>1</xdr:row>
      <xdr:rowOff>0</xdr:rowOff>
    </xdr:from>
    <xdr:to>
      <xdr:col>7</xdr:col>
      <xdr:colOff>647700</xdr:colOff>
      <xdr:row>2</xdr:row>
      <xdr:rowOff>0</xdr:rowOff>
    </xdr:to>
    <xdr:sp macro="" textlink="">
      <xdr:nvSpPr>
        <xdr:cNvPr id="22580" name="Oval 52">
          <a:extLst>
            <a:ext uri="{FF2B5EF4-FFF2-40B4-BE49-F238E27FC236}">
              <a16:creationId xmlns:a16="http://schemas.microsoft.com/office/drawing/2014/main" id="{00000000-0008-0000-0B00-000034580000}"/>
            </a:ext>
          </a:extLst>
        </xdr:cNvPr>
        <xdr:cNvSpPr>
          <a:spLocks noChangeArrowheads="1"/>
        </xdr:cNvSpPr>
      </xdr:nvSpPr>
      <xdr:spPr bwMode="auto">
        <a:xfrm>
          <a:off x="67151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342900</xdr:colOff>
      <xdr:row>1</xdr:row>
      <xdr:rowOff>0</xdr:rowOff>
    </xdr:from>
    <xdr:to>
      <xdr:col>7</xdr:col>
      <xdr:colOff>495300</xdr:colOff>
      <xdr:row>2</xdr:row>
      <xdr:rowOff>0</xdr:rowOff>
    </xdr:to>
    <xdr:sp macro="" textlink="">
      <xdr:nvSpPr>
        <xdr:cNvPr id="22581" name="Oval 53">
          <a:extLst>
            <a:ext uri="{FF2B5EF4-FFF2-40B4-BE49-F238E27FC236}">
              <a16:creationId xmlns:a16="http://schemas.microsoft.com/office/drawing/2014/main" id="{00000000-0008-0000-0B00-000035580000}"/>
            </a:ext>
          </a:extLst>
        </xdr:cNvPr>
        <xdr:cNvSpPr>
          <a:spLocks noChangeArrowheads="1"/>
        </xdr:cNvSpPr>
      </xdr:nvSpPr>
      <xdr:spPr bwMode="auto">
        <a:xfrm>
          <a:off x="6562725" y="333375"/>
          <a:ext cx="152400" cy="161925"/>
        </a:xfrm>
        <a:prstGeom prst="ellipse">
          <a:avLst/>
        </a:prstGeom>
        <a:solidFill>
          <a:srgbClr val="FFFFFF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78</xdr:row>
      <xdr:rowOff>47625</xdr:rowOff>
    </xdr:from>
    <xdr:to>
      <xdr:col>4</xdr:col>
      <xdr:colOff>66675</xdr:colOff>
      <xdr:row>78</xdr:row>
      <xdr:rowOff>123825</xdr:rowOff>
    </xdr:to>
    <xdr:sp macro="" textlink="">
      <xdr:nvSpPr>
        <xdr:cNvPr id="23553" name="Oval 1">
          <a:extLst>
            <a:ext uri="{FF2B5EF4-FFF2-40B4-BE49-F238E27FC236}">
              <a16:creationId xmlns:a16="http://schemas.microsoft.com/office/drawing/2014/main" id="{00000000-0008-0000-0C00-0000015C0000}"/>
            </a:ext>
          </a:extLst>
        </xdr:cNvPr>
        <xdr:cNvSpPr>
          <a:spLocks noChangeArrowheads="1"/>
        </xdr:cNvSpPr>
      </xdr:nvSpPr>
      <xdr:spPr bwMode="auto">
        <a:xfrm>
          <a:off x="4095750" y="146113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82</xdr:row>
      <xdr:rowOff>104775</xdr:rowOff>
    </xdr:from>
    <xdr:to>
      <xdr:col>0</xdr:col>
      <xdr:colOff>647700</xdr:colOff>
      <xdr:row>83</xdr:row>
      <xdr:rowOff>19050</xdr:rowOff>
    </xdr:to>
    <xdr:sp macro="" textlink="">
      <xdr:nvSpPr>
        <xdr:cNvPr id="23554" name="Oval 2">
          <a:extLst>
            <a:ext uri="{FF2B5EF4-FFF2-40B4-BE49-F238E27FC236}">
              <a16:creationId xmlns:a16="http://schemas.microsoft.com/office/drawing/2014/main" id="{00000000-0008-0000-0C00-0000025C0000}"/>
            </a:ext>
          </a:extLst>
        </xdr:cNvPr>
        <xdr:cNvSpPr>
          <a:spLocks noChangeArrowheads="1"/>
        </xdr:cNvSpPr>
      </xdr:nvSpPr>
      <xdr:spPr bwMode="auto">
        <a:xfrm>
          <a:off x="571500" y="153352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78</xdr:row>
      <xdr:rowOff>38100</xdr:rowOff>
    </xdr:from>
    <xdr:to>
      <xdr:col>0</xdr:col>
      <xdr:colOff>676275</xdr:colOff>
      <xdr:row>78</xdr:row>
      <xdr:rowOff>123825</xdr:rowOff>
    </xdr:to>
    <xdr:sp macro="" textlink="">
      <xdr:nvSpPr>
        <xdr:cNvPr id="23555" name="Oval 3">
          <a:extLst>
            <a:ext uri="{FF2B5EF4-FFF2-40B4-BE49-F238E27FC236}">
              <a16:creationId xmlns:a16="http://schemas.microsoft.com/office/drawing/2014/main" id="{00000000-0008-0000-0C00-0000035C0000}"/>
            </a:ext>
          </a:extLst>
        </xdr:cNvPr>
        <xdr:cNvSpPr>
          <a:spLocks noChangeArrowheads="1"/>
        </xdr:cNvSpPr>
      </xdr:nvSpPr>
      <xdr:spPr bwMode="auto">
        <a:xfrm>
          <a:off x="600075" y="1460182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78</xdr:row>
      <xdr:rowOff>47625</xdr:rowOff>
    </xdr:from>
    <xdr:to>
      <xdr:col>4</xdr:col>
      <xdr:colOff>352425</xdr:colOff>
      <xdr:row>78</xdr:row>
      <xdr:rowOff>123825</xdr:rowOff>
    </xdr:to>
    <xdr:sp macro="" textlink="">
      <xdr:nvSpPr>
        <xdr:cNvPr id="23556" name="Oval 4">
          <a:extLst>
            <a:ext uri="{FF2B5EF4-FFF2-40B4-BE49-F238E27FC236}">
              <a16:creationId xmlns:a16="http://schemas.microsoft.com/office/drawing/2014/main" id="{00000000-0008-0000-0C00-0000045C0000}"/>
            </a:ext>
          </a:extLst>
        </xdr:cNvPr>
        <xdr:cNvSpPr>
          <a:spLocks noChangeArrowheads="1"/>
        </xdr:cNvSpPr>
      </xdr:nvSpPr>
      <xdr:spPr bwMode="auto">
        <a:xfrm>
          <a:off x="4400550" y="146113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77</xdr:row>
      <xdr:rowOff>152400</xdr:rowOff>
    </xdr:from>
    <xdr:to>
      <xdr:col>1</xdr:col>
      <xdr:colOff>561975</xdr:colOff>
      <xdr:row>78</xdr:row>
      <xdr:rowOff>161925</xdr:rowOff>
    </xdr:to>
    <xdr:sp macro="" textlink="">
      <xdr:nvSpPr>
        <xdr:cNvPr id="23557" name="Rectangle 5">
          <a:extLst>
            <a:ext uri="{FF2B5EF4-FFF2-40B4-BE49-F238E27FC236}">
              <a16:creationId xmlns:a16="http://schemas.microsoft.com/office/drawing/2014/main" id="{00000000-0008-0000-0C00-0000055C0000}"/>
            </a:ext>
          </a:extLst>
        </xdr:cNvPr>
        <xdr:cNvSpPr>
          <a:spLocks noChangeArrowheads="1"/>
        </xdr:cNvSpPr>
      </xdr:nvSpPr>
      <xdr:spPr bwMode="auto">
        <a:xfrm>
          <a:off x="1695450" y="14516100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533400</xdr:colOff>
      <xdr:row>78</xdr:row>
      <xdr:rowOff>171450</xdr:rowOff>
    </xdr:to>
    <xdr:sp macro="" textlink="">
      <xdr:nvSpPr>
        <xdr:cNvPr id="23558" name="Rectangle 6">
          <a:extLst>
            <a:ext uri="{FF2B5EF4-FFF2-40B4-BE49-F238E27FC236}">
              <a16:creationId xmlns:a16="http://schemas.microsoft.com/office/drawing/2014/main" id="{00000000-0008-0000-0C00-0000065C0000}"/>
            </a:ext>
          </a:extLst>
        </xdr:cNvPr>
        <xdr:cNvSpPr>
          <a:spLocks noChangeArrowheads="1"/>
        </xdr:cNvSpPr>
      </xdr:nvSpPr>
      <xdr:spPr bwMode="auto">
        <a:xfrm>
          <a:off x="2752725" y="14563725"/>
          <a:ext cx="533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762000</xdr:colOff>
      <xdr:row>80</xdr:row>
      <xdr:rowOff>19050</xdr:rowOff>
    </xdr:from>
    <xdr:to>
      <xdr:col>3</xdr:col>
      <xdr:colOff>1238250</xdr:colOff>
      <xdr:row>80</xdr:row>
      <xdr:rowOff>19050</xdr:rowOff>
    </xdr:to>
    <xdr:sp macro="" textlink="">
      <xdr:nvSpPr>
        <xdr:cNvPr id="23559" name="Line 7">
          <a:extLst>
            <a:ext uri="{FF2B5EF4-FFF2-40B4-BE49-F238E27FC236}">
              <a16:creationId xmlns:a16="http://schemas.microsoft.com/office/drawing/2014/main" id="{00000000-0008-0000-0C00-0000075C0000}"/>
            </a:ext>
          </a:extLst>
        </xdr:cNvPr>
        <xdr:cNvSpPr>
          <a:spLocks noChangeShapeType="1"/>
        </xdr:cNvSpPr>
      </xdr:nvSpPr>
      <xdr:spPr bwMode="auto">
        <a:xfrm>
          <a:off x="3514725" y="1492567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80</xdr:row>
      <xdr:rowOff>152400</xdr:rowOff>
    </xdr:from>
    <xdr:to>
      <xdr:col>3</xdr:col>
      <xdr:colOff>1238250</xdr:colOff>
      <xdr:row>80</xdr:row>
      <xdr:rowOff>152400</xdr:rowOff>
    </xdr:to>
    <xdr:sp macro="" textlink="">
      <xdr:nvSpPr>
        <xdr:cNvPr id="23560" name="Line 8">
          <a:extLst>
            <a:ext uri="{FF2B5EF4-FFF2-40B4-BE49-F238E27FC236}">
              <a16:creationId xmlns:a16="http://schemas.microsoft.com/office/drawing/2014/main" id="{00000000-0008-0000-0C00-0000085C0000}"/>
            </a:ext>
          </a:extLst>
        </xdr:cNvPr>
        <xdr:cNvSpPr>
          <a:spLocks noChangeShapeType="1"/>
        </xdr:cNvSpPr>
      </xdr:nvSpPr>
      <xdr:spPr bwMode="auto">
        <a:xfrm>
          <a:off x="3514725" y="150590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77</xdr:row>
      <xdr:rowOff>38100</xdr:rowOff>
    </xdr:from>
    <xdr:to>
      <xdr:col>4</xdr:col>
      <xdr:colOff>323850</xdr:colOff>
      <xdr:row>78</xdr:row>
      <xdr:rowOff>66675</xdr:rowOff>
    </xdr:to>
    <xdr:sp macro="" textlink="">
      <xdr:nvSpPr>
        <xdr:cNvPr id="23561" name="Line 9">
          <a:extLst>
            <a:ext uri="{FF2B5EF4-FFF2-40B4-BE49-F238E27FC236}">
              <a16:creationId xmlns:a16="http://schemas.microsoft.com/office/drawing/2014/main" id="{00000000-0008-0000-0C00-0000095C0000}"/>
            </a:ext>
          </a:extLst>
        </xdr:cNvPr>
        <xdr:cNvSpPr>
          <a:spLocks noChangeShapeType="1"/>
        </xdr:cNvSpPr>
      </xdr:nvSpPr>
      <xdr:spPr bwMode="auto">
        <a:xfrm flipV="1">
          <a:off x="4181475" y="14401800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78</xdr:row>
      <xdr:rowOff>85725</xdr:rowOff>
    </xdr:from>
    <xdr:to>
      <xdr:col>3</xdr:col>
      <xdr:colOff>1333500</xdr:colOff>
      <xdr:row>78</xdr:row>
      <xdr:rowOff>85725</xdr:rowOff>
    </xdr:to>
    <xdr:sp macro="" textlink="">
      <xdr:nvSpPr>
        <xdr:cNvPr id="23562" name="Line 10">
          <a:extLst>
            <a:ext uri="{FF2B5EF4-FFF2-40B4-BE49-F238E27FC236}">
              <a16:creationId xmlns:a16="http://schemas.microsoft.com/office/drawing/2014/main" id="{00000000-0008-0000-0C00-00000A5C0000}"/>
            </a:ext>
          </a:extLst>
        </xdr:cNvPr>
        <xdr:cNvSpPr>
          <a:spLocks noChangeShapeType="1"/>
        </xdr:cNvSpPr>
      </xdr:nvSpPr>
      <xdr:spPr bwMode="auto">
        <a:xfrm>
          <a:off x="3705225" y="14649450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78</xdr:row>
      <xdr:rowOff>85725</xdr:rowOff>
    </xdr:from>
    <xdr:to>
      <xdr:col>1</xdr:col>
      <xdr:colOff>57150</xdr:colOff>
      <xdr:row>78</xdr:row>
      <xdr:rowOff>85725</xdr:rowOff>
    </xdr:to>
    <xdr:sp macro="" textlink="">
      <xdr:nvSpPr>
        <xdr:cNvPr id="23563" name="Line 11">
          <a:extLst>
            <a:ext uri="{FF2B5EF4-FFF2-40B4-BE49-F238E27FC236}">
              <a16:creationId xmlns:a16="http://schemas.microsoft.com/office/drawing/2014/main" id="{00000000-0008-0000-0C00-00000B5C0000}"/>
            </a:ext>
          </a:extLst>
        </xdr:cNvPr>
        <xdr:cNvSpPr>
          <a:spLocks noChangeShapeType="1"/>
        </xdr:cNvSpPr>
      </xdr:nvSpPr>
      <xdr:spPr bwMode="auto">
        <a:xfrm>
          <a:off x="695325" y="14649450"/>
          <a:ext cx="1047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78</xdr:row>
      <xdr:rowOff>76200</xdr:rowOff>
    </xdr:from>
    <xdr:to>
      <xdr:col>3</xdr:col>
      <xdr:colOff>9525</xdr:colOff>
      <xdr:row>78</xdr:row>
      <xdr:rowOff>76200</xdr:rowOff>
    </xdr:to>
    <xdr:sp macro="" textlink="">
      <xdr:nvSpPr>
        <xdr:cNvPr id="23564" name="Line 12">
          <a:extLst>
            <a:ext uri="{FF2B5EF4-FFF2-40B4-BE49-F238E27FC236}">
              <a16:creationId xmlns:a16="http://schemas.microsoft.com/office/drawing/2014/main" id="{00000000-0008-0000-0C00-00000C5C0000}"/>
            </a:ext>
          </a:extLst>
        </xdr:cNvPr>
        <xdr:cNvSpPr>
          <a:spLocks noChangeShapeType="1"/>
        </xdr:cNvSpPr>
      </xdr:nvSpPr>
      <xdr:spPr bwMode="auto">
        <a:xfrm>
          <a:off x="2247900" y="14639925"/>
          <a:ext cx="514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78</xdr:row>
      <xdr:rowOff>85725</xdr:rowOff>
    </xdr:from>
    <xdr:to>
      <xdr:col>3</xdr:col>
      <xdr:colOff>971550</xdr:colOff>
      <xdr:row>78</xdr:row>
      <xdr:rowOff>85725</xdr:rowOff>
    </xdr:to>
    <xdr:sp macro="" textlink="">
      <xdr:nvSpPr>
        <xdr:cNvPr id="23565" name="Line 13">
          <a:extLst>
            <a:ext uri="{FF2B5EF4-FFF2-40B4-BE49-F238E27FC236}">
              <a16:creationId xmlns:a16="http://schemas.microsoft.com/office/drawing/2014/main" id="{00000000-0008-0000-0C00-00000D5C0000}"/>
            </a:ext>
          </a:extLst>
        </xdr:cNvPr>
        <xdr:cNvSpPr>
          <a:spLocks noChangeShapeType="1"/>
        </xdr:cNvSpPr>
      </xdr:nvSpPr>
      <xdr:spPr bwMode="auto">
        <a:xfrm>
          <a:off x="3305175" y="14649450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83</xdr:row>
      <xdr:rowOff>0</xdr:rowOff>
    </xdr:from>
    <xdr:to>
      <xdr:col>3</xdr:col>
      <xdr:colOff>981075</xdr:colOff>
      <xdr:row>83</xdr:row>
      <xdr:rowOff>0</xdr:rowOff>
    </xdr:to>
    <xdr:sp macro="" textlink="">
      <xdr:nvSpPr>
        <xdr:cNvPr id="23566" name="Line 14">
          <a:extLst>
            <a:ext uri="{FF2B5EF4-FFF2-40B4-BE49-F238E27FC236}">
              <a16:creationId xmlns:a16="http://schemas.microsoft.com/office/drawing/2014/main" id="{00000000-0008-0000-0C00-00000E5C0000}"/>
            </a:ext>
          </a:extLst>
        </xdr:cNvPr>
        <xdr:cNvSpPr>
          <a:spLocks noChangeShapeType="1"/>
        </xdr:cNvSpPr>
      </xdr:nvSpPr>
      <xdr:spPr bwMode="auto">
        <a:xfrm>
          <a:off x="657225" y="15392400"/>
          <a:ext cx="3076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78</xdr:row>
      <xdr:rowOff>85725</xdr:rowOff>
    </xdr:from>
    <xdr:to>
      <xdr:col>3</xdr:col>
      <xdr:colOff>952500</xdr:colOff>
      <xdr:row>80</xdr:row>
      <xdr:rowOff>19050</xdr:rowOff>
    </xdr:to>
    <xdr:sp macro="" textlink="">
      <xdr:nvSpPr>
        <xdr:cNvPr id="23567" name="Line 15">
          <a:extLst>
            <a:ext uri="{FF2B5EF4-FFF2-40B4-BE49-F238E27FC236}">
              <a16:creationId xmlns:a16="http://schemas.microsoft.com/office/drawing/2014/main" id="{00000000-0008-0000-0C00-00000F5C0000}"/>
            </a:ext>
          </a:extLst>
        </xdr:cNvPr>
        <xdr:cNvSpPr>
          <a:spLocks noChangeShapeType="1"/>
        </xdr:cNvSpPr>
      </xdr:nvSpPr>
      <xdr:spPr bwMode="auto">
        <a:xfrm>
          <a:off x="3705225" y="14649450"/>
          <a:ext cx="0" cy="276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81</xdr:row>
      <xdr:rowOff>0</xdr:rowOff>
    </xdr:from>
    <xdr:to>
      <xdr:col>3</xdr:col>
      <xdr:colOff>962025</xdr:colOff>
      <xdr:row>83</xdr:row>
      <xdr:rowOff>0</xdr:rowOff>
    </xdr:to>
    <xdr:sp macro="" textlink="">
      <xdr:nvSpPr>
        <xdr:cNvPr id="23568" name="Line 16">
          <a:extLst>
            <a:ext uri="{FF2B5EF4-FFF2-40B4-BE49-F238E27FC236}">
              <a16:creationId xmlns:a16="http://schemas.microsoft.com/office/drawing/2014/main" id="{00000000-0008-0000-0C00-0000105C0000}"/>
            </a:ext>
          </a:extLst>
        </xdr:cNvPr>
        <xdr:cNvSpPr>
          <a:spLocks noChangeShapeType="1"/>
        </xdr:cNvSpPr>
      </xdr:nvSpPr>
      <xdr:spPr bwMode="auto">
        <a:xfrm flipV="1">
          <a:off x="3714750" y="15068550"/>
          <a:ext cx="0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79</xdr:row>
      <xdr:rowOff>38100</xdr:rowOff>
    </xdr:from>
    <xdr:to>
      <xdr:col>1</xdr:col>
      <xdr:colOff>381000</xdr:colOff>
      <xdr:row>80</xdr:row>
      <xdr:rowOff>104775</xdr:rowOff>
    </xdr:to>
    <xdr:sp macro="" textlink="">
      <xdr:nvSpPr>
        <xdr:cNvPr id="23569" name="Text Box 17">
          <a:extLst>
            <a:ext uri="{FF2B5EF4-FFF2-40B4-BE49-F238E27FC236}">
              <a16:creationId xmlns:a16="http://schemas.microsoft.com/office/drawing/2014/main" id="{00000000-0008-0000-0C00-0000115C0000}"/>
            </a:ext>
          </a:extLst>
        </xdr:cNvPr>
        <xdr:cNvSpPr txBox="1">
          <a:spLocks noChangeArrowheads="1"/>
        </xdr:cNvSpPr>
      </xdr:nvSpPr>
      <xdr:spPr bwMode="auto">
        <a:xfrm>
          <a:off x="1781175" y="1478280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UL</a:t>
          </a:r>
          <a:endParaRPr lang="de-CH"/>
        </a:p>
      </xdr:txBody>
    </xdr:sp>
    <xdr:clientData/>
  </xdr:twoCellAnchor>
  <xdr:twoCellAnchor>
    <xdr:from>
      <xdr:col>3</xdr:col>
      <xdr:colOff>114300</xdr:colOff>
      <xdr:row>79</xdr:row>
      <xdr:rowOff>28575</xdr:rowOff>
    </xdr:from>
    <xdr:to>
      <xdr:col>3</xdr:col>
      <xdr:colOff>400050</xdr:colOff>
      <xdr:row>80</xdr:row>
      <xdr:rowOff>95250</xdr:rowOff>
    </xdr:to>
    <xdr:sp macro="" textlink="">
      <xdr:nvSpPr>
        <xdr:cNvPr id="23570" name="Text Box 18">
          <a:extLst>
            <a:ext uri="{FF2B5EF4-FFF2-40B4-BE49-F238E27FC236}">
              <a16:creationId xmlns:a16="http://schemas.microsoft.com/office/drawing/2014/main" id="{00000000-0008-0000-0C00-0000125C0000}"/>
            </a:ext>
          </a:extLst>
        </xdr:cNvPr>
        <xdr:cNvSpPr txBox="1">
          <a:spLocks noChangeArrowheads="1"/>
        </xdr:cNvSpPr>
      </xdr:nvSpPr>
      <xdr:spPr bwMode="auto">
        <a:xfrm>
          <a:off x="2867025" y="1477327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UR</a:t>
          </a:r>
          <a:endParaRPr lang="de-CH"/>
        </a:p>
      </xdr:txBody>
    </xdr:sp>
    <xdr:clientData/>
  </xdr:twoCellAnchor>
  <xdr:twoCellAnchor>
    <xdr:from>
      <xdr:col>1</xdr:col>
      <xdr:colOff>390525</xdr:colOff>
      <xdr:row>82</xdr:row>
      <xdr:rowOff>152400</xdr:rowOff>
    </xdr:from>
    <xdr:to>
      <xdr:col>1</xdr:col>
      <xdr:colOff>638175</xdr:colOff>
      <xdr:row>83</xdr:row>
      <xdr:rowOff>0</xdr:rowOff>
    </xdr:to>
    <xdr:sp macro="" textlink="">
      <xdr:nvSpPr>
        <xdr:cNvPr id="23571" name="Line 19">
          <a:extLst>
            <a:ext uri="{FF2B5EF4-FFF2-40B4-BE49-F238E27FC236}">
              <a16:creationId xmlns:a16="http://schemas.microsoft.com/office/drawing/2014/main" id="{00000000-0008-0000-0C00-0000135C0000}"/>
            </a:ext>
          </a:extLst>
        </xdr:cNvPr>
        <xdr:cNvSpPr>
          <a:spLocks noChangeShapeType="1"/>
        </xdr:cNvSpPr>
      </xdr:nvSpPr>
      <xdr:spPr bwMode="auto">
        <a:xfrm flipH="1">
          <a:off x="2076450" y="15382875"/>
          <a:ext cx="247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79</xdr:row>
      <xdr:rowOff>0</xdr:rowOff>
    </xdr:from>
    <xdr:ext cx="76200" cy="200025"/>
    <xdr:sp macro="" textlink="">
      <xdr:nvSpPr>
        <xdr:cNvPr id="23572" name="Text Box 20">
          <a:extLst>
            <a:ext uri="{FF2B5EF4-FFF2-40B4-BE49-F238E27FC236}">
              <a16:creationId xmlns:a16="http://schemas.microsoft.com/office/drawing/2014/main" id="{00000000-0008-0000-0C00-0000145C0000}"/>
            </a:ext>
          </a:extLst>
        </xdr:cNvPr>
        <xdr:cNvSpPr txBox="1">
          <a:spLocks noChangeArrowheads="1"/>
        </xdr:cNvSpPr>
      </xdr:nvSpPr>
      <xdr:spPr bwMode="auto">
        <a:xfrm>
          <a:off x="1819275" y="14744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81</xdr:row>
      <xdr:rowOff>28575</xdr:rowOff>
    </xdr:from>
    <xdr:to>
      <xdr:col>1</xdr:col>
      <xdr:colOff>542925</xdr:colOff>
      <xdr:row>82</xdr:row>
      <xdr:rowOff>95250</xdr:rowOff>
    </xdr:to>
    <xdr:sp macro="" textlink="">
      <xdr:nvSpPr>
        <xdr:cNvPr id="23573" name="Text Box 21">
          <a:extLst>
            <a:ext uri="{FF2B5EF4-FFF2-40B4-BE49-F238E27FC236}">
              <a16:creationId xmlns:a16="http://schemas.microsoft.com/office/drawing/2014/main" id="{00000000-0008-0000-0C00-0000155C0000}"/>
            </a:ext>
          </a:extLst>
        </xdr:cNvPr>
        <xdr:cNvSpPr txBox="1">
          <a:spLocks noChangeArrowheads="1"/>
        </xdr:cNvSpPr>
      </xdr:nvSpPr>
      <xdr:spPr bwMode="auto">
        <a:xfrm>
          <a:off x="2114550" y="1509712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4</xdr:col>
      <xdr:colOff>342900</xdr:colOff>
      <xdr:row>78</xdr:row>
      <xdr:rowOff>95250</xdr:rowOff>
    </xdr:from>
    <xdr:to>
      <xdr:col>5</xdr:col>
      <xdr:colOff>9525</xdr:colOff>
      <xdr:row>78</xdr:row>
      <xdr:rowOff>95250</xdr:rowOff>
    </xdr:to>
    <xdr:sp macro="" textlink="">
      <xdr:nvSpPr>
        <xdr:cNvPr id="23574" name="Line 22">
          <a:extLst>
            <a:ext uri="{FF2B5EF4-FFF2-40B4-BE49-F238E27FC236}">
              <a16:creationId xmlns:a16="http://schemas.microsoft.com/office/drawing/2014/main" id="{00000000-0008-0000-0C00-0000165C0000}"/>
            </a:ext>
          </a:extLst>
        </xdr:cNvPr>
        <xdr:cNvSpPr>
          <a:spLocks noChangeShapeType="1"/>
        </xdr:cNvSpPr>
      </xdr:nvSpPr>
      <xdr:spPr bwMode="auto">
        <a:xfrm>
          <a:off x="4467225" y="146589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78</xdr:row>
      <xdr:rowOff>85725</xdr:rowOff>
    </xdr:from>
    <xdr:to>
      <xdr:col>5</xdr:col>
      <xdr:colOff>0</xdr:colOff>
      <xdr:row>82</xdr:row>
      <xdr:rowOff>142875</xdr:rowOff>
    </xdr:to>
    <xdr:sp macro="" textlink="">
      <xdr:nvSpPr>
        <xdr:cNvPr id="23575" name="Line 23">
          <a:extLst>
            <a:ext uri="{FF2B5EF4-FFF2-40B4-BE49-F238E27FC236}">
              <a16:creationId xmlns:a16="http://schemas.microsoft.com/office/drawing/2014/main" id="{00000000-0008-0000-0C00-0000175C0000}"/>
            </a:ext>
          </a:extLst>
        </xdr:cNvPr>
        <xdr:cNvSpPr>
          <a:spLocks noChangeShapeType="1"/>
        </xdr:cNvSpPr>
      </xdr:nvSpPr>
      <xdr:spPr bwMode="auto">
        <a:xfrm>
          <a:off x="4886325" y="14649450"/>
          <a:ext cx="0" cy="723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82</xdr:row>
      <xdr:rowOff>142875</xdr:rowOff>
    </xdr:from>
    <xdr:to>
      <xdr:col>3</xdr:col>
      <xdr:colOff>971550</xdr:colOff>
      <xdr:row>82</xdr:row>
      <xdr:rowOff>152400</xdr:rowOff>
    </xdr:to>
    <xdr:sp macro="" textlink="">
      <xdr:nvSpPr>
        <xdr:cNvPr id="23576" name="Line 24">
          <a:extLst>
            <a:ext uri="{FF2B5EF4-FFF2-40B4-BE49-F238E27FC236}">
              <a16:creationId xmlns:a16="http://schemas.microsoft.com/office/drawing/2014/main" id="{00000000-0008-0000-0C00-0000185C0000}"/>
            </a:ext>
          </a:extLst>
        </xdr:cNvPr>
        <xdr:cNvSpPr>
          <a:spLocks noChangeShapeType="1"/>
        </xdr:cNvSpPr>
      </xdr:nvSpPr>
      <xdr:spPr bwMode="auto">
        <a:xfrm flipV="1">
          <a:off x="3714750" y="1537335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82</xdr:row>
      <xdr:rowOff>152400</xdr:rowOff>
    </xdr:from>
    <xdr:to>
      <xdr:col>5</xdr:col>
      <xdr:colOff>9525</xdr:colOff>
      <xdr:row>83</xdr:row>
      <xdr:rowOff>0</xdr:rowOff>
    </xdr:to>
    <xdr:sp macro="" textlink="">
      <xdr:nvSpPr>
        <xdr:cNvPr id="23577" name="Line 25">
          <a:extLst>
            <a:ext uri="{FF2B5EF4-FFF2-40B4-BE49-F238E27FC236}">
              <a16:creationId xmlns:a16="http://schemas.microsoft.com/office/drawing/2014/main" id="{00000000-0008-0000-0C00-0000195C0000}"/>
            </a:ext>
          </a:extLst>
        </xdr:cNvPr>
        <xdr:cNvSpPr>
          <a:spLocks noChangeShapeType="1"/>
        </xdr:cNvSpPr>
      </xdr:nvSpPr>
      <xdr:spPr bwMode="auto">
        <a:xfrm>
          <a:off x="3714750" y="15382875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77</xdr:row>
      <xdr:rowOff>85725</xdr:rowOff>
    </xdr:from>
    <xdr:to>
      <xdr:col>4</xdr:col>
      <xdr:colOff>219075</xdr:colOff>
      <xdr:row>78</xdr:row>
      <xdr:rowOff>114300</xdr:rowOff>
    </xdr:to>
    <xdr:sp macro="" textlink="">
      <xdr:nvSpPr>
        <xdr:cNvPr id="23578" name="Freeform 26">
          <a:extLst>
            <a:ext uri="{FF2B5EF4-FFF2-40B4-BE49-F238E27FC236}">
              <a16:creationId xmlns:a16="http://schemas.microsoft.com/office/drawing/2014/main" id="{00000000-0008-0000-0C00-00001A5C0000}"/>
            </a:ext>
          </a:extLst>
        </xdr:cNvPr>
        <xdr:cNvSpPr>
          <a:spLocks/>
        </xdr:cNvSpPr>
      </xdr:nvSpPr>
      <xdr:spPr bwMode="auto">
        <a:xfrm>
          <a:off x="4133850" y="14449425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1314450</xdr:colOff>
      <xdr:row>77</xdr:row>
      <xdr:rowOff>57150</xdr:rowOff>
    </xdr:from>
    <xdr:to>
      <xdr:col>4</xdr:col>
      <xdr:colOff>76200</xdr:colOff>
      <xdr:row>77</xdr:row>
      <xdr:rowOff>95250</xdr:rowOff>
    </xdr:to>
    <xdr:sp macro="" textlink="">
      <xdr:nvSpPr>
        <xdr:cNvPr id="23579" name="Line 27">
          <a:extLst>
            <a:ext uri="{FF2B5EF4-FFF2-40B4-BE49-F238E27FC236}">
              <a16:creationId xmlns:a16="http://schemas.microsoft.com/office/drawing/2014/main" id="{00000000-0008-0000-0C00-00001B5C0000}"/>
            </a:ext>
          </a:extLst>
        </xdr:cNvPr>
        <xdr:cNvSpPr>
          <a:spLocks noChangeShapeType="1"/>
        </xdr:cNvSpPr>
      </xdr:nvSpPr>
      <xdr:spPr bwMode="auto">
        <a:xfrm flipH="1" flipV="1">
          <a:off x="4067175" y="14420850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80</xdr:row>
      <xdr:rowOff>0</xdr:rowOff>
    </xdr:from>
    <xdr:to>
      <xdr:col>0</xdr:col>
      <xdr:colOff>752475</xdr:colOff>
      <xdr:row>81</xdr:row>
      <xdr:rowOff>66675</xdr:rowOff>
    </xdr:to>
    <xdr:sp macro="" textlink="">
      <xdr:nvSpPr>
        <xdr:cNvPr id="23580" name="Text Box 28">
          <a:extLst>
            <a:ext uri="{FF2B5EF4-FFF2-40B4-BE49-F238E27FC236}">
              <a16:creationId xmlns:a16="http://schemas.microsoft.com/office/drawing/2014/main" id="{00000000-0008-0000-0C00-00001C5C0000}"/>
            </a:ext>
          </a:extLst>
        </xdr:cNvPr>
        <xdr:cNvSpPr txBox="1">
          <a:spLocks noChangeArrowheads="1"/>
        </xdr:cNvSpPr>
      </xdr:nvSpPr>
      <xdr:spPr bwMode="auto">
        <a:xfrm>
          <a:off x="466725" y="1490662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1304925</xdr:colOff>
      <xdr:row>80</xdr:row>
      <xdr:rowOff>9525</xdr:rowOff>
    </xdr:from>
    <xdr:to>
      <xdr:col>4</xdr:col>
      <xdr:colOff>238125</xdr:colOff>
      <xdr:row>81</xdr:row>
      <xdr:rowOff>76200</xdr:rowOff>
    </xdr:to>
    <xdr:sp macro="" textlink="">
      <xdr:nvSpPr>
        <xdr:cNvPr id="23581" name="Text Box 29">
          <a:extLst>
            <a:ext uri="{FF2B5EF4-FFF2-40B4-BE49-F238E27FC236}">
              <a16:creationId xmlns:a16="http://schemas.microsoft.com/office/drawing/2014/main" id="{00000000-0008-0000-0C00-00001D5C0000}"/>
            </a:ext>
          </a:extLst>
        </xdr:cNvPr>
        <xdr:cNvSpPr txBox="1">
          <a:spLocks noChangeArrowheads="1"/>
        </xdr:cNvSpPr>
      </xdr:nvSpPr>
      <xdr:spPr bwMode="auto">
        <a:xfrm>
          <a:off x="4057650" y="14916150"/>
          <a:ext cx="304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Uc</a:t>
          </a:r>
          <a:endParaRPr lang="de-CH"/>
        </a:p>
      </xdr:txBody>
    </xdr:sp>
    <xdr:clientData/>
  </xdr:twoCellAnchor>
  <xdr:twoCellAnchor>
    <xdr:from>
      <xdr:col>0</xdr:col>
      <xdr:colOff>714375</xdr:colOff>
      <xdr:row>43</xdr:row>
      <xdr:rowOff>19050</xdr:rowOff>
    </xdr:from>
    <xdr:to>
      <xdr:col>5</xdr:col>
      <xdr:colOff>438150</xdr:colOff>
      <xdr:row>63</xdr:row>
      <xdr:rowOff>114300</xdr:rowOff>
    </xdr:to>
    <xdr:graphicFrame macro="">
      <xdr:nvGraphicFramePr>
        <xdr:cNvPr id="23582" name="Diagramm 30">
          <a:extLst>
            <a:ext uri="{FF2B5EF4-FFF2-40B4-BE49-F238E27FC236}">
              <a16:creationId xmlns:a16="http://schemas.microsoft.com/office/drawing/2014/main" id="{00000000-0008-0000-0C00-00001E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36</xdr:row>
      <xdr:rowOff>57150</xdr:rowOff>
    </xdr:from>
    <xdr:to>
      <xdr:col>5</xdr:col>
      <xdr:colOff>533400</xdr:colOff>
      <xdr:row>36</xdr:row>
      <xdr:rowOff>133350</xdr:rowOff>
    </xdr:to>
    <xdr:sp macro="" textlink="">
      <xdr:nvSpPr>
        <xdr:cNvPr id="23583" name="Oval 31">
          <a:extLst>
            <a:ext uri="{FF2B5EF4-FFF2-40B4-BE49-F238E27FC236}">
              <a16:creationId xmlns:a16="http://schemas.microsoft.com/office/drawing/2014/main" id="{00000000-0008-0000-0C00-00001F5C0000}"/>
            </a:ext>
          </a:extLst>
        </xdr:cNvPr>
        <xdr:cNvSpPr>
          <a:spLocks noChangeArrowheads="1"/>
        </xdr:cNvSpPr>
      </xdr:nvSpPr>
      <xdr:spPr bwMode="auto">
        <a:xfrm>
          <a:off x="5324475" y="73342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41</xdr:row>
      <xdr:rowOff>123825</xdr:rowOff>
    </xdr:from>
    <xdr:to>
      <xdr:col>0</xdr:col>
      <xdr:colOff>619125</xdr:colOff>
      <xdr:row>42</xdr:row>
      <xdr:rowOff>28575</xdr:rowOff>
    </xdr:to>
    <xdr:sp macro="" textlink="">
      <xdr:nvSpPr>
        <xdr:cNvPr id="23584" name="Oval 32">
          <a:extLst>
            <a:ext uri="{FF2B5EF4-FFF2-40B4-BE49-F238E27FC236}">
              <a16:creationId xmlns:a16="http://schemas.microsoft.com/office/drawing/2014/main" id="{00000000-0008-0000-0C00-0000205C0000}"/>
            </a:ext>
          </a:extLst>
        </xdr:cNvPr>
        <xdr:cNvSpPr>
          <a:spLocks noChangeArrowheads="1"/>
        </xdr:cNvSpPr>
      </xdr:nvSpPr>
      <xdr:spPr bwMode="auto">
        <a:xfrm>
          <a:off x="542925" y="82486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36</xdr:row>
      <xdr:rowOff>38100</xdr:rowOff>
    </xdr:from>
    <xdr:to>
      <xdr:col>0</xdr:col>
      <xdr:colOff>676275</xdr:colOff>
      <xdr:row>36</xdr:row>
      <xdr:rowOff>123825</xdr:rowOff>
    </xdr:to>
    <xdr:sp macro="" textlink="">
      <xdr:nvSpPr>
        <xdr:cNvPr id="23585" name="Oval 33">
          <a:extLst>
            <a:ext uri="{FF2B5EF4-FFF2-40B4-BE49-F238E27FC236}">
              <a16:creationId xmlns:a16="http://schemas.microsoft.com/office/drawing/2014/main" id="{00000000-0008-0000-0C00-0000215C0000}"/>
            </a:ext>
          </a:extLst>
        </xdr:cNvPr>
        <xdr:cNvSpPr>
          <a:spLocks noChangeArrowheads="1"/>
        </xdr:cNvSpPr>
      </xdr:nvSpPr>
      <xdr:spPr bwMode="auto">
        <a:xfrm>
          <a:off x="600075" y="73152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36</xdr:row>
      <xdr:rowOff>57150</xdr:rowOff>
    </xdr:from>
    <xdr:to>
      <xdr:col>6</xdr:col>
      <xdr:colOff>66675</xdr:colOff>
      <xdr:row>36</xdr:row>
      <xdr:rowOff>133350</xdr:rowOff>
    </xdr:to>
    <xdr:sp macro="" textlink="">
      <xdr:nvSpPr>
        <xdr:cNvPr id="23586" name="Oval 34">
          <a:extLst>
            <a:ext uri="{FF2B5EF4-FFF2-40B4-BE49-F238E27FC236}">
              <a16:creationId xmlns:a16="http://schemas.microsoft.com/office/drawing/2014/main" id="{00000000-0008-0000-0C00-0000225C0000}"/>
            </a:ext>
          </a:extLst>
        </xdr:cNvPr>
        <xdr:cNvSpPr>
          <a:spLocks noChangeArrowheads="1"/>
        </xdr:cNvSpPr>
      </xdr:nvSpPr>
      <xdr:spPr bwMode="auto">
        <a:xfrm>
          <a:off x="5638800" y="73342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35</xdr:row>
      <xdr:rowOff>171450</xdr:rowOff>
    </xdr:from>
    <xdr:to>
      <xdr:col>4</xdr:col>
      <xdr:colOff>400050</xdr:colOff>
      <xdr:row>37</xdr:row>
      <xdr:rowOff>0</xdr:rowOff>
    </xdr:to>
    <xdr:sp macro="" textlink="">
      <xdr:nvSpPr>
        <xdr:cNvPr id="23587" name="Rectangle 35">
          <a:extLst>
            <a:ext uri="{FF2B5EF4-FFF2-40B4-BE49-F238E27FC236}">
              <a16:creationId xmlns:a16="http://schemas.microsoft.com/office/drawing/2014/main" id="{00000000-0008-0000-0C00-0000235C0000}"/>
            </a:ext>
          </a:extLst>
        </xdr:cNvPr>
        <xdr:cNvSpPr>
          <a:spLocks noChangeArrowheads="1"/>
        </xdr:cNvSpPr>
      </xdr:nvSpPr>
      <xdr:spPr bwMode="auto">
        <a:xfrm>
          <a:off x="3971925" y="7248525"/>
          <a:ext cx="552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35</xdr:row>
      <xdr:rowOff>190500</xdr:rowOff>
    </xdr:from>
    <xdr:to>
      <xdr:col>3</xdr:col>
      <xdr:colOff>809625</xdr:colOff>
      <xdr:row>36</xdr:row>
      <xdr:rowOff>152400</xdr:rowOff>
    </xdr:to>
    <xdr:sp macro="" textlink="">
      <xdr:nvSpPr>
        <xdr:cNvPr id="23588" name="Rectangle 36">
          <a:extLst>
            <a:ext uri="{FF2B5EF4-FFF2-40B4-BE49-F238E27FC236}">
              <a16:creationId xmlns:a16="http://schemas.microsoft.com/office/drawing/2014/main" id="{00000000-0008-0000-0C00-0000245C0000}"/>
            </a:ext>
          </a:extLst>
        </xdr:cNvPr>
        <xdr:cNvSpPr>
          <a:spLocks noChangeArrowheads="1"/>
        </xdr:cNvSpPr>
      </xdr:nvSpPr>
      <xdr:spPr bwMode="auto">
        <a:xfrm>
          <a:off x="3028950" y="726757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39</xdr:row>
      <xdr:rowOff>28575</xdr:rowOff>
    </xdr:from>
    <xdr:to>
      <xdr:col>5</xdr:col>
      <xdr:colOff>342900</xdr:colOff>
      <xdr:row>39</xdr:row>
      <xdr:rowOff>28575</xdr:rowOff>
    </xdr:to>
    <xdr:sp macro="" textlink="">
      <xdr:nvSpPr>
        <xdr:cNvPr id="23589" name="Line 37">
          <a:extLst>
            <a:ext uri="{FF2B5EF4-FFF2-40B4-BE49-F238E27FC236}">
              <a16:creationId xmlns:a16="http://schemas.microsoft.com/office/drawing/2014/main" id="{00000000-0008-0000-0C00-0000255C0000}"/>
            </a:ext>
          </a:extLst>
        </xdr:cNvPr>
        <xdr:cNvSpPr>
          <a:spLocks noChangeShapeType="1"/>
        </xdr:cNvSpPr>
      </xdr:nvSpPr>
      <xdr:spPr bwMode="auto">
        <a:xfrm>
          <a:off x="4752975" y="78295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39</xdr:row>
      <xdr:rowOff>133350</xdr:rowOff>
    </xdr:from>
    <xdr:to>
      <xdr:col>5</xdr:col>
      <xdr:colOff>342900</xdr:colOff>
      <xdr:row>39</xdr:row>
      <xdr:rowOff>133350</xdr:rowOff>
    </xdr:to>
    <xdr:sp macro="" textlink="">
      <xdr:nvSpPr>
        <xdr:cNvPr id="23590" name="Line 38">
          <a:extLst>
            <a:ext uri="{FF2B5EF4-FFF2-40B4-BE49-F238E27FC236}">
              <a16:creationId xmlns:a16="http://schemas.microsoft.com/office/drawing/2014/main" id="{00000000-0008-0000-0C00-0000265C0000}"/>
            </a:ext>
          </a:extLst>
        </xdr:cNvPr>
        <xdr:cNvSpPr>
          <a:spLocks noChangeShapeType="1"/>
        </xdr:cNvSpPr>
      </xdr:nvSpPr>
      <xdr:spPr bwMode="auto">
        <a:xfrm>
          <a:off x="4752975" y="79343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36</xdr:row>
      <xdr:rowOff>66675</xdr:rowOff>
    </xdr:from>
    <xdr:to>
      <xdr:col>5</xdr:col>
      <xdr:colOff>752475</xdr:colOff>
      <xdr:row>36</xdr:row>
      <xdr:rowOff>95250</xdr:rowOff>
    </xdr:to>
    <xdr:sp macro="" textlink="">
      <xdr:nvSpPr>
        <xdr:cNvPr id="23591" name="Line 39">
          <a:extLst>
            <a:ext uri="{FF2B5EF4-FFF2-40B4-BE49-F238E27FC236}">
              <a16:creationId xmlns:a16="http://schemas.microsoft.com/office/drawing/2014/main" id="{00000000-0008-0000-0C00-0000275C0000}"/>
            </a:ext>
          </a:extLst>
        </xdr:cNvPr>
        <xdr:cNvSpPr>
          <a:spLocks noChangeShapeType="1"/>
        </xdr:cNvSpPr>
      </xdr:nvSpPr>
      <xdr:spPr bwMode="auto">
        <a:xfrm flipV="1">
          <a:off x="5400675" y="7343775"/>
          <a:ext cx="238125" cy="285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36</xdr:row>
      <xdr:rowOff>104775</xdr:rowOff>
    </xdr:from>
    <xdr:to>
      <xdr:col>5</xdr:col>
      <xdr:colOff>466725</xdr:colOff>
      <xdr:row>36</xdr:row>
      <xdr:rowOff>104775</xdr:rowOff>
    </xdr:to>
    <xdr:sp macro="" textlink="">
      <xdr:nvSpPr>
        <xdr:cNvPr id="23592" name="Line 40">
          <a:extLst>
            <a:ext uri="{FF2B5EF4-FFF2-40B4-BE49-F238E27FC236}">
              <a16:creationId xmlns:a16="http://schemas.microsoft.com/office/drawing/2014/main" id="{00000000-0008-0000-0C00-0000285C0000}"/>
            </a:ext>
          </a:extLst>
        </xdr:cNvPr>
        <xdr:cNvSpPr>
          <a:spLocks noChangeShapeType="1"/>
        </xdr:cNvSpPr>
      </xdr:nvSpPr>
      <xdr:spPr bwMode="auto">
        <a:xfrm>
          <a:off x="4972050" y="73818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36</xdr:row>
      <xdr:rowOff>85725</xdr:rowOff>
    </xdr:from>
    <xdr:to>
      <xdr:col>3</xdr:col>
      <xdr:colOff>285750</xdr:colOff>
      <xdr:row>36</xdr:row>
      <xdr:rowOff>85725</xdr:rowOff>
    </xdr:to>
    <xdr:sp macro="" textlink="">
      <xdr:nvSpPr>
        <xdr:cNvPr id="23593" name="Line 41">
          <a:extLst>
            <a:ext uri="{FF2B5EF4-FFF2-40B4-BE49-F238E27FC236}">
              <a16:creationId xmlns:a16="http://schemas.microsoft.com/office/drawing/2014/main" id="{00000000-0008-0000-0C00-0000295C0000}"/>
            </a:ext>
          </a:extLst>
        </xdr:cNvPr>
        <xdr:cNvSpPr>
          <a:spLocks noChangeShapeType="1"/>
        </xdr:cNvSpPr>
      </xdr:nvSpPr>
      <xdr:spPr bwMode="auto">
        <a:xfrm flipV="1">
          <a:off x="695325" y="7362825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36</xdr:row>
      <xdr:rowOff>76200</xdr:rowOff>
    </xdr:from>
    <xdr:to>
      <xdr:col>3</xdr:col>
      <xdr:colOff>1238250</xdr:colOff>
      <xdr:row>36</xdr:row>
      <xdr:rowOff>76200</xdr:rowOff>
    </xdr:to>
    <xdr:sp macro="" textlink="">
      <xdr:nvSpPr>
        <xdr:cNvPr id="23594" name="Line 42">
          <a:extLst>
            <a:ext uri="{FF2B5EF4-FFF2-40B4-BE49-F238E27FC236}">
              <a16:creationId xmlns:a16="http://schemas.microsoft.com/office/drawing/2014/main" id="{00000000-0008-0000-0C00-00002A5C0000}"/>
            </a:ext>
          </a:extLst>
        </xdr:cNvPr>
        <xdr:cNvSpPr>
          <a:spLocks noChangeShapeType="1"/>
        </xdr:cNvSpPr>
      </xdr:nvSpPr>
      <xdr:spPr bwMode="auto">
        <a:xfrm>
          <a:off x="3562350" y="73533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36</xdr:row>
      <xdr:rowOff>104775</xdr:rowOff>
    </xdr:from>
    <xdr:to>
      <xdr:col>5</xdr:col>
      <xdr:colOff>38100</xdr:colOff>
      <xdr:row>36</xdr:row>
      <xdr:rowOff>104775</xdr:rowOff>
    </xdr:to>
    <xdr:sp macro="" textlink="">
      <xdr:nvSpPr>
        <xdr:cNvPr id="23595" name="Line 43">
          <a:extLst>
            <a:ext uri="{FF2B5EF4-FFF2-40B4-BE49-F238E27FC236}">
              <a16:creationId xmlns:a16="http://schemas.microsoft.com/office/drawing/2014/main" id="{00000000-0008-0000-0C00-00002B5C0000}"/>
            </a:ext>
          </a:extLst>
        </xdr:cNvPr>
        <xdr:cNvSpPr>
          <a:spLocks noChangeShapeType="1"/>
        </xdr:cNvSpPr>
      </xdr:nvSpPr>
      <xdr:spPr bwMode="auto">
        <a:xfrm>
          <a:off x="4505325" y="73818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41</xdr:row>
      <xdr:rowOff>171450</xdr:rowOff>
    </xdr:from>
    <xdr:to>
      <xdr:col>5</xdr:col>
      <xdr:colOff>85725</xdr:colOff>
      <xdr:row>41</xdr:row>
      <xdr:rowOff>171450</xdr:rowOff>
    </xdr:to>
    <xdr:sp macro="" textlink="">
      <xdr:nvSpPr>
        <xdr:cNvPr id="23596" name="Line 44">
          <a:extLst>
            <a:ext uri="{FF2B5EF4-FFF2-40B4-BE49-F238E27FC236}">
              <a16:creationId xmlns:a16="http://schemas.microsoft.com/office/drawing/2014/main" id="{00000000-0008-0000-0C00-00002C5C0000}"/>
            </a:ext>
          </a:extLst>
        </xdr:cNvPr>
        <xdr:cNvSpPr>
          <a:spLocks noChangeShapeType="1"/>
        </xdr:cNvSpPr>
      </xdr:nvSpPr>
      <xdr:spPr bwMode="auto">
        <a:xfrm>
          <a:off x="638175" y="8286750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36</xdr:row>
      <xdr:rowOff>95250</xdr:rowOff>
    </xdr:from>
    <xdr:to>
      <xdr:col>5</xdr:col>
      <xdr:colOff>95250</xdr:colOff>
      <xdr:row>39</xdr:row>
      <xdr:rowOff>28575</xdr:rowOff>
    </xdr:to>
    <xdr:sp macro="" textlink="">
      <xdr:nvSpPr>
        <xdr:cNvPr id="23597" name="Line 45">
          <a:extLst>
            <a:ext uri="{FF2B5EF4-FFF2-40B4-BE49-F238E27FC236}">
              <a16:creationId xmlns:a16="http://schemas.microsoft.com/office/drawing/2014/main" id="{00000000-0008-0000-0C00-00002D5C0000}"/>
            </a:ext>
          </a:extLst>
        </xdr:cNvPr>
        <xdr:cNvSpPr>
          <a:spLocks noChangeShapeType="1"/>
        </xdr:cNvSpPr>
      </xdr:nvSpPr>
      <xdr:spPr bwMode="auto">
        <a:xfrm>
          <a:off x="4981575" y="7372350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39</xdr:row>
      <xdr:rowOff>133350</xdr:rowOff>
    </xdr:from>
    <xdr:to>
      <xdr:col>5</xdr:col>
      <xdr:colOff>104775</xdr:colOff>
      <xdr:row>41</xdr:row>
      <xdr:rowOff>171450</xdr:rowOff>
    </xdr:to>
    <xdr:sp macro="" textlink="">
      <xdr:nvSpPr>
        <xdr:cNvPr id="23598" name="Line 46">
          <a:extLst>
            <a:ext uri="{FF2B5EF4-FFF2-40B4-BE49-F238E27FC236}">
              <a16:creationId xmlns:a16="http://schemas.microsoft.com/office/drawing/2014/main" id="{00000000-0008-0000-0C00-00002E5C0000}"/>
            </a:ext>
          </a:extLst>
        </xdr:cNvPr>
        <xdr:cNvSpPr>
          <a:spLocks noChangeShapeType="1"/>
        </xdr:cNvSpPr>
      </xdr:nvSpPr>
      <xdr:spPr bwMode="auto">
        <a:xfrm flipV="1">
          <a:off x="4991100" y="7934325"/>
          <a:ext cx="0" cy="3524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41</xdr:row>
      <xdr:rowOff>171450</xdr:rowOff>
    </xdr:from>
    <xdr:to>
      <xdr:col>1</xdr:col>
      <xdr:colOff>619125</xdr:colOff>
      <xdr:row>41</xdr:row>
      <xdr:rowOff>171450</xdr:rowOff>
    </xdr:to>
    <xdr:sp macro="" textlink="">
      <xdr:nvSpPr>
        <xdr:cNvPr id="23599" name="Line 47">
          <a:extLst>
            <a:ext uri="{FF2B5EF4-FFF2-40B4-BE49-F238E27FC236}">
              <a16:creationId xmlns:a16="http://schemas.microsoft.com/office/drawing/2014/main" id="{00000000-0008-0000-0C00-00002F5C0000}"/>
            </a:ext>
          </a:extLst>
        </xdr:cNvPr>
        <xdr:cNvSpPr>
          <a:spLocks noChangeShapeType="1"/>
        </xdr:cNvSpPr>
      </xdr:nvSpPr>
      <xdr:spPr bwMode="auto">
        <a:xfrm flipH="1">
          <a:off x="2038350" y="82867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38</xdr:row>
      <xdr:rowOff>0</xdr:rowOff>
    </xdr:from>
    <xdr:ext cx="76200" cy="200025"/>
    <xdr:sp macro="" textlink="">
      <xdr:nvSpPr>
        <xdr:cNvPr id="23600" name="Text Box 48">
          <a:extLst>
            <a:ext uri="{FF2B5EF4-FFF2-40B4-BE49-F238E27FC236}">
              <a16:creationId xmlns:a16="http://schemas.microsoft.com/office/drawing/2014/main" id="{00000000-0008-0000-0C00-0000305C0000}"/>
            </a:ext>
          </a:extLst>
        </xdr:cNvPr>
        <xdr:cNvSpPr txBox="1">
          <a:spLocks noChangeArrowheads="1"/>
        </xdr:cNvSpPr>
      </xdr:nvSpPr>
      <xdr:spPr bwMode="auto">
        <a:xfrm>
          <a:off x="1819275" y="760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40</xdr:row>
      <xdr:rowOff>28575</xdr:rowOff>
    </xdr:from>
    <xdr:to>
      <xdr:col>1</xdr:col>
      <xdr:colOff>542925</xdr:colOff>
      <xdr:row>41</xdr:row>
      <xdr:rowOff>95250</xdr:rowOff>
    </xdr:to>
    <xdr:sp macro="" textlink="">
      <xdr:nvSpPr>
        <xdr:cNvPr id="23601" name="Text Box 49">
          <a:extLst>
            <a:ext uri="{FF2B5EF4-FFF2-40B4-BE49-F238E27FC236}">
              <a16:creationId xmlns:a16="http://schemas.microsoft.com/office/drawing/2014/main" id="{00000000-0008-0000-0C00-0000315C0000}"/>
            </a:ext>
          </a:extLst>
        </xdr:cNvPr>
        <xdr:cNvSpPr txBox="1">
          <a:spLocks noChangeArrowheads="1"/>
        </xdr:cNvSpPr>
      </xdr:nvSpPr>
      <xdr:spPr bwMode="auto">
        <a:xfrm>
          <a:off x="2114550" y="799147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36</xdr:row>
      <xdr:rowOff>95250</xdr:rowOff>
    </xdr:from>
    <xdr:to>
      <xdr:col>6</xdr:col>
      <xdr:colOff>523875</xdr:colOff>
      <xdr:row>36</xdr:row>
      <xdr:rowOff>104775</xdr:rowOff>
    </xdr:to>
    <xdr:sp macro="" textlink="">
      <xdr:nvSpPr>
        <xdr:cNvPr id="23602" name="Line 50">
          <a:extLst>
            <a:ext uri="{FF2B5EF4-FFF2-40B4-BE49-F238E27FC236}">
              <a16:creationId xmlns:a16="http://schemas.microsoft.com/office/drawing/2014/main" id="{00000000-0008-0000-0C00-0000325C0000}"/>
            </a:ext>
          </a:extLst>
        </xdr:cNvPr>
        <xdr:cNvSpPr>
          <a:spLocks noChangeShapeType="1"/>
        </xdr:cNvSpPr>
      </xdr:nvSpPr>
      <xdr:spPr bwMode="auto">
        <a:xfrm flipV="1">
          <a:off x="5715000" y="7372350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36</xdr:row>
      <xdr:rowOff>104775</xdr:rowOff>
    </xdr:from>
    <xdr:to>
      <xdr:col>6</xdr:col>
      <xdr:colOff>514350</xdr:colOff>
      <xdr:row>41</xdr:row>
      <xdr:rowOff>161925</xdr:rowOff>
    </xdr:to>
    <xdr:sp macro="" textlink="">
      <xdr:nvSpPr>
        <xdr:cNvPr id="23603" name="Line 51">
          <a:extLst>
            <a:ext uri="{FF2B5EF4-FFF2-40B4-BE49-F238E27FC236}">
              <a16:creationId xmlns:a16="http://schemas.microsoft.com/office/drawing/2014/main" id="{00000000-0008-0000-0C00-0000335C0000}"/>
            </a:ext>
          </a:extLst>
        </xdr:cNvPr>
        <xdr:cNvSpPr>
          <a:spLocks noChangeShapeType="1"/>
        </xdr:cNvSpPr>
      </xdr:nvSpPr>
      <xdr:spPr bwMode="auto">
        <a:xfrm>
          <a:off x="6162675" y="7381875"/>
          <a:ext cx="0" cy="904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41</xdr:row>
      <xdr:rowOff>142875</xdr:rowOff>
    </xdr:from>
    <xdr:to>
      <xdr:col>3</xdr:col>
      <xdr:colOff>971550</xdr:colOff>
      <xdr:row>41</xdr:row>
      <xdr:rowOff>152400</xdr:rowOff>
    </xdr:to>
    <xdr:sp macro="" textlink="">
      <xdr:nvSpPr>
        <xdr:cNvPr id="23604" name="Line 52">
          <a:extLst>
            <a:ext uri="{FF2B5EF4-FFF2-40B4-BE49-F238E27FC236}">
              <a16:creationId xmlns:a16="http://schemas.microsoft.com/office/drawing/2014/main" id="{00000000-0008-0000-0C00-0000345C0000}"/>
            </a:ext>
          </a:extLst>
        </xdr:cNvPr>
        <xdr:cNvSpPr>
          <a:spLocks noChangeShapeType="1"/>
        </xdr:cNvSpPr>
      </xdr:nvSpPr>
      <xdr:spPr bwMode="auto">
        <a:xfrm flipV="1">
          <a:off x="3714750" y="82677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41</xdr:row>
      <xdr:rowOff>161925</xdr:rowOff>
    </xdr:from>
    <xdr:to>
      <xdr:col>6</xdr:col>
      <xdr:colOff>523875</xdr:colOff>
      <xdr:row>41</xdr:row>
      <xdr:rowOff>171450</xdr:rowOff>
    </xdr:to>
    <xdr:sp macro="" textlink="">
      <xdr:nvSpPr>
        <xdr:cNvPr id="23605" name="Line 53">
          <a:extLst>
            <a:ext uri="{FF2B5EF4-FFF2-40B4-BE49-F238E27FC236}">
              <a16:creationId xmlns:a16="http://schemas.microsoft.com/office/drawing/2014/main" id="{00000000-0008-0000-0C00-0000355C0000}"/>
            </a:ext>
          </a:extLst>
        </xdr:cNvPr>
        <xdr:cNvSpPr>
          <a:spLocks noChangeShapeType="1"/>
        </xdr:cNvSpPr>
      </xdr:nvSpPr>
      <xdr:spPr bwMode="auto">
        <a:xfrm flipV="1">
          <a:off x="5000625" y="8286750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485775</xdr:colOff>
      <xdr:row>35</xdr:row>
      <xdr:rowOff>123825</xdr:rowOff>
    </xdr:from>
    <xdr:to>
      <xdr:col>5</xdr:col>
      <xdr:colOff>676275</xdr:colOff>
      <xdr:row>37</xdr:row>
      <xdr:rowOff>104775</xdr:rowOff>
    </xdr:to>
    <xdr:sp macro="" textlink="">
      <xdr:nvSpPr>
        <xdr:cNvPr id="23606" name="Freeform 54">
          <a:extLst>
            <a:ext uri="{FF2B5EF4-FFF2-40B4-BE49-F238E27FC236}">
              <a16:creationId xmlns:a16="http://schemas.microsoft.com/office/drawing/2014/main" id="{00000000-0008-0000-0C00-0000365C0000}"/>
            </a:ext>
          </a:extLst>
        </xdr:cNvPr>
        <xdr:cNvSpPr>
          <a:spLocks/>
        </xdr:cNvSpPr>
      </xdr:nvSpPr>
      <xdr:spPr bwMode="auto">
        <a:xfrm>
          <a:off x="5372100" y="7200900"/>
          <a:ext cx="190500" cy="3429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514350</xdr:colOff>
      <xdr:row>38</xdr:row>
      <xdr:rowOff>161925</xdr:rowOff>
    </xdr:from>
    <xdr:to>
      <xdr:col>0</xdr:col>
      <xdr:colOff>800100</xdr:colOff>
      <xdr:row>40</xdr:row>
      <xdr:rowOff>28575</xdr:rowOff>
    </xdr:to>
    <xdr:sp macro="" textlink="">
      <xdr:nvSpPr>
        <xdr:cNvPr id="23607" name="Text Box 55">
          <a:extLst>
            <a:ext uri="{FF2B5EF4-FFF2-40B4-BE49-F238E27FC236}">
              <a16:creationId xmlns:a16="http://schemas.microsoft.com/office/drawing/2014/main" id="{00000000-0008-0000-0C00-0000375C0000}"/>
            </a:ext>
          </a:extLst>
        </xdr:cNvPr>
        <xdr:cNvSpPr txBox="1">
          <a:spLocks noChangeArrowheads="1"/>
        </xdr:cNvSpPr>
      </xdr:nvSpPr>
      <xdr:spPr bwMode="auto">
        <a:xfrm>
          <a:off x="514350" y="776287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5</xdr:col>
      <xdr:colOff>666750</xdr:colOff>
      <xdr:row>37</xdr:row>
      <xdr:rowOff>57150</xdr:rowOff>
    </xdr:from>
    <xdr:to>
      <xdr:col>5</xdr:col>
      <xdr:colOff>666750</xdr:colOff>
      <xdr:row>38</xdr:row>
      <xdr:rowOff>47625</xdr:rowOff>
    </xdr:to>
    <xdr:sp macro="" textlink="">
      <xdr:nvSpPr>
        <xdr:cNvPr id="23608" name="Line 56">
          <a:extLst>
            <a:ext uri="{FF2B5EF4-FFF2-40B4-BE49-F238E27FC236}">
              <a16:creationId xmlns:a16="http://schemas.microsoft.com/office/drawing/2014/main" id="{00000000-0008-0000-0C00-0000385C0000}"/>
            </a:ext>
          </a:extLst>
        </xdr:cNvPr>
        <xdr:cNvSpPr>
          <a:spLocks noChangeShapeType="1"/>
        </xdr:cNvSpPr>
      </xdr:nvSpPr>
      <xdr:spPr bwMode="auto">
        <a:xfrm flipH="1">
          <a:off x="5553075" y="74961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157</xdr:row>
      <xdr:rowOff>0</xdr:rowOff>
    </xdr:from>
    <xdr:to>
      <xdr:col>10</xdr:col>
      <xdr:colOff>476250</xdr:colOff>
      <xdr:row>186</xdr:row>
      <xdr:rowOff>152400</xdr:rowOff>
    </xdr:to>
    <xdr:graphicFrame macro="">
      <xdr:nvGraphicFramePr>
        <xdr:cNvPr id="23609" name="Diagramm 57">
          <a:extLst>
            <a:ext uri="{FF2B5EF4-FFF2-40B4-BE49-F238E27FC236}">
              <a16:creationId xmlns:a16="http://schemas.microsoft.com/office/drawing/2014/main" id="{00000000-0008-0000-0C00-000039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1209675</xdr:colOff>
      <xdr:row>34</xdr:row>
      <xdr:rowOff>76200</xdr:rowOff>
    </xdr:from>
    <xdr:to>
      <xdr:col>4</xdr:col>
      <xdr:colOff>390525</xdr:colOff>
      <xdr:row>35</xdr:row>
      <xdr:rowOff>85725</xdr:rowOff>
    </xdr:to>
    <xdr:sp macro="" textlink="">
      <xdr:nvSpPr>
        <xdr:cNvPr id="23610" name="Rectangle 58">
          <a:extLst>
            <a:ext uri="{FF2B5EF4-FFF2-40B4-BE49-F238E27FC236}">
              <a16:creationId xmlns:a16="http://schemas.microsoft.com/office/drawing/2014/main" id="{00000000-0008-0000-0C00-00003A5C0000}"/>
            </a:ext>
          </a:extLst>
        </xdr:cNvPr>
        <xdr:cNvSpPr>
          <a:spLocks noChangeArrowheads="1"/>
        </xdr:cNvSpPr>
      </xdr:nvSpPr>
      <xdr:spPr bwMode="auto">
        <a:xfrm>
          <a:off x="3962400" y="6953250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34</xdr:row>
      <xdr:rowOff>123825</xdr:rowOff>
    </xdr:from>
    <xdr:to>
      <xdr:col>3</xdr:col>
      <xdr:colOff>819150</xdr:colOff>
      <xdr:row>35</xdr:row>
      <xdr:rowOff>85725</xdr:rowOff>
    </xdr:to>
    <xdr:sp macro="" textlink="">
      <xdr:nvSpPr>
        <xdr:cNvPr id="23611" name="Rectangle 59">
          <a:extLst>
            <a:ext uri="{FF2B5EF4-FFF2-40B4-BE49-F238E27FC236}">
              <a16:creationId xmlns:a16="http://schemas.microsoft.com/office/drawing/2014/main" id="{00000000-0008-0000-0C00-00003B5C0000}"/>
            </a:ext>
          </a:extLst>
        </xdr:cNvPr>
        <xdr:cNvSpPr>
          <a:spLocks noChangeArrowheads="1"/>
        </xdr:cNvSpPr>
      </xdr:nvSpPr>
      <xdr:spPr bwMode="auto">
        <a:xfrm>
          <a:off x="3038475" y="700087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35</xdr:row>
      <xdr:rowOff>0</xdr:rowOff>
    </xdr:from>
    <xdr:to>
      <xdr:col>3</xdr:col>
      <xdr:colOff>1257300</xdr:colOff>
      <xdr:row>35</xdr:row>
      <xdr:rowOff>0</xdr:rowOff>
    </xdr:to>
    <xdr:sp macro="" textlink="">
      <xdr:nvSpPr>
        <xdr:cNvPr id="23612" name="Line 60">
          <a:extLst>
            <a:ext uri="{FF2B5EF4-FFF2-40B4-BE49-F238E27FC236}">
              <a16:creationId xmlns:a16="http://schemas.microsoft.com/office/drawing/2014/main" id="{00000000-0008-0000-0C00-00003C5C0000}"/>
            </a:ext>
          </a:extLst>
        </xdr:cNvPr>
        <xdr:cNvSpPr>
          <a:spLocks noChangeShapeType="1"/>
        </xdr:cNvSpPr>
      </xdr:nvSpPr>
      <xdr:spPr bwMode="auto">
        <a:xfrm>
          <a:off x="3581400" y="70770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35</xdr:row>
      <xdr:rowOff>9525</xdr:rowOff>
    </xdr:from>
    <xdr:to>
      <xdr:col>3</xdr:col>
      <xdr:colOff>276225</xdr:colOff>
      <xdr:row>35</xdr:row>
      <xdr:rowOff>9525</xdr:rowOff>
    </xdr:to>
    <xdr:sp macro="" textlink="">
      <xdr:nvSpPr>
        <xdr:cNvPr id="23613" name="Line 61">
          <a:extLst>
            <a:ext uri="{FF2B5EF4-FFF2-40B4-BE49-F238E27FC236}">
              <a16:creationId xmlns:a16="http://schemas.microsoft.com/office/drawing/2014/main" id="{00000000-0008-0000-0C00-00003D5C0000}"/>
            </a:ext>
          </a:extLst>
        </xdr:cNvPr>
        <xdr:cNvSpPr>
          <a:spLocks noChangeShapeType="1"/>
        </xdr:cNvSpPr>
      </xdr:nvSpPr>
      <xdr:spPr bwMode="auto">
        <a:xfrm>
          <a:off x="2771775" y="7086600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31</xdr:row>
      <xdr:rowOff>66675</xdr:rowOff>
    </xdr:from>
    <xdr:to>
      <xdr:col>4</xdr:col>
      <xdr:colOff>95250</xdr:colOff>
      <xdr:row>32</xdr:row>
      <xdr:rowOff>142875</xdr:rowOff>
    </xdr:to>
    <xdr:sp macro="" textlink="">
      <xdr:nvSpPr>
        <xdr:cNvPr id="23614" name="Line 62">
          <a:extLst>
            <a:ext uri="{FF2B5EF4-FFF2-40B4-BE49-F238E27FC236}">
              <a16:creationId xmlns:a16="http://schemas.microsoft.com/office/drawing/2014/main" id="{00000000-0008-0000-0C00-00003E5C0000}"/>
            </a:ext>
          </a:extLst>
        </xdr:cNvPr>
        <xdr:cNvSpPr>
          <a:spLocks noChangeShapeType="1"/>
        </xdr:cNvSpPr>
      </xdr:nvSpPr>
      <xdr:spPr bwMode="auto">
        <a:xfrm>
          <a:off x="4219575" y="6276975"/>
          <a:ext cx="0" cy="2762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66675</xdr:rowOff>
    </xdr:from>
    <xdr:to>
      <xdr:col>4</xdr:col>
      <xdr:colOff>0</xdr:colOff>
      <xdr:row>32</xdr:row>
      <xdr:rowOff>142875</xdr:rowOff>
    </xdr:to>
    <xdr:sp macro="" textlink="">
      <xdr:nvSpPr>
        <xdr:cNvPr id="23615" name="Line 63">
          <a:extLst>
            <a:ext uri="{FF2B5EF4-FFF2-40B4-BE49-F238E27FC236}">
              <a16:creationId xmlns:a16="http://schemas.microsoft.com/office/drawing/2014/main" id="{00000000-0008-0000-0C00-00003F5C0000}"/>
            </a:ext>
          </a:extLst>
        </xdr:cNvPr>
        <xdr:cNvSpPr>
          <a:spLocks noChangeShapeType="1"/>
        </xdr:cNvSpPr>
      </xdr:nvSpPr>
      <xdr:spPr bwMode="auto">
        <a:xfrm>
          <a:off x="4124325" y="6276975"/>
          <a:ext cx="0" cy="2762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31</xdr:row>
      <xdr:rowOff>190500</xdr:rowOff>
    </xdr:from>
    <xdr:to>
      <xdr:col>5</xdr:col>
      <xdr:colOff>542925</xdr:colOff>
      <xdr:row>32</xdr:row>
      <xdr:rowOff>0</xdr:rowOff>
    </xdr:to>
    <xdr:sp macro="" textlink="">
      <xdr:nvSpPr>
        <xdr:cNvPr id="23616" name="Line 64">
          <a:extLst>
            <a:ext uri="{FF2B5EF4-FFF2-40B4-BE49-F238E27FC236}">
              <a16:creationId xmlns:a16="http://schemas.microsoft.com/office/drawing/2014/main" id="{00000000-0008-0000-0C00-0000405C0000}"/>
            </a:ext>
          </a:extLst>
        </xdr:cNvPr>
        <xdr:cNvSpPr>
          <a:spLocks noChangeShapeType="1"/>
        </xdr:cNvSpPr>
      </xdr:nvSpPr>
      <xdr:spPr bwMode="auto">
        <a:xfrm flipV="1">
          <a:off x="4248150" y="6400800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32</xdr:row>
      <xdr:rowOff>0</xdr:rowOff>
    </xdr:from>
    <xdr:to>
      <xdr:col>3</xdr:col>
      <xdr:colOff>1362075</xdr:colOff>
      <xdr:row>32</xdr:row>
      <xdr:rowOff>9525</xdr:rowOff>
    </xdr:to>
    <xdr:sp macro="" textlink="">
      <xdr:nvSpPr>
        <xdr:cNvPr id="23617" name="Line 65">
          <a:extLst>
            <a:ext uri="{FF2B5EF4-FFF2-40B4-BE49-F238E27FC236}">
              <a16:creationId xmlns:a16="http://schemas.microsoft.com/office/drawing/2014/main" id="{00000000-0008-0000-0C00-0000415C0000}"/>
            </a:ext>
          </a:extLst>
        </xdr:cNvPr>
        <xdr:cNvSpPr>
          <a:spLocks noChangeShapeType="1"/>
        </xdr:cNvSpPr>
      </xdr:nvSpPr>
      <xdr:spPr bwMode="auto">
        <a:xfrm flipV="1">
          <a:off x="2781300" y="6410325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32</xdr:row>
      <xdr:rowOff>0</xdr:rowOff>
    </xdr:from>
    <xdr:to>
      <xdr:col>5</xdr:col>
      <xdr:colOff>542925</xdr:colOff>
      <xdr:row>35</xdr:row>
      <xdr:rowOff>9525</xdr:rowOff>
    </xdr:to>
    <xdr:sp macro="" textlink="">
      <xdr:nvSpPr>
        <xdr:cNvPr id="23618" name="Line 66">
          <a:extLst>
            <a:ext uri="{FF2B5EF4-FFF2-40B4-BE49-F238E27FC236}">
              <a16:creationId xmlns:a16="http://schemas.microsoft.com/office/drawing/2014/main" id="{00000000-0008-0000-0C00-0000425C0000}"/>
            </a:ext>
          </a:extLst>
        </xdr:cNvPr>
        <xdr:cNvSpPr>
          <a:spLocks noChangeShapeType="1"/>
        </xdr:cNvSpPr>
      </xdr:nvSpPr>
      <xdr:spPr bwMode="auto">
        <a:xfrm>
          <a:off x="5419725" y="6410325"/>
          <a:ext cx="9525" cy="676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19050</xdr:colOff>
      <xdr:row>35</xdr:row>
      <xdr:rowOff>9525</xdr:rowOff>
    </xdr:to>
    <xdr:sp macro="" textlink="">
      <xdr:nvSpPr>
        <xdr:cNvPr id="23619" name="Line 67">
          <a:extLst>
            <a:ext uri="{FF2B5EF4-FFF2-40B4-BE49-F238E27FC236}">
              <a16:creationId xmlns:a16="http://schemas.microsoft.com/office/drawing/2014/main" id="{00000000-0008-0000-0C00-0000435C0000}"/>
            </a:ext>
          </a:extLst>
        </xdr:cNvPr>
        <xdr:cNvSpPr>
          <a:spLocks noChangeShapeType="1"/>
        </xdr:cNvSpPr>
      </xdr:nvSpPr>
      <xdr:spPr bwMode="auto">
        <a:xfrm>
          <a:off x="2771775" y="6429375"/>
          <a:ext cx="0" cy="657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35</xdr:row>
      <xdr:rowOff>0</xdr:rowOff>
    </xdr:from>
    <xdr:to>
      <xdr:col>5</xdr:col>
      <xdr:colOff>533400</xdr:colOff>
      <xdr:row>35</xdr:row>
      <xdr:rowOff>0</xdr:rowOff>
    </xdr:to>
    <xdr:sp macro="" textlink="">
      <xdr:nvSpPr>
        <xdr:cNvPr id="23620" name="Line 68">
          <a:extLst>
            <a:ext uri="{FF2B5EF4-FFF2-40B4-BE49-F238E27FC236}">
              <a16:creationId xmlns:a16="http://schemas.microsoft.com/office/drawing/2014/main" id="{00000000-0008-0000-0C00-0000445C0000}"/>
            </a:ext>
          </a:extLst>
        </xdr:cNvPr>
        <xdr:cNvSpPr>
          <a:spLocks noChangeShapeType="1"/>
        </xdr:cNvSpPr>
      </xdr:nvSpPr>
      <xdr:spPr bwMode="auto">
        <a:xfrm flipV="1">
          <a:off x="4543425" y="7077075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35</xdr:row>
      <xdr:rowOff>133350</xdr:rowOff>
    </xdr:from>
    <xdr:to>
      <xdr:col>4</xdr:col>
      <xdr:colOff>400050</xdr:colOff>
      <xdr:row>35</xdr:row>
      <xdr:rowOff>133350</xdr:rowOff>
    </xdr:to>
    <xdr:sp macro="" textlink="">
      <xdr:nvSpPr>
        <xdr:cNvPr id="23621" name="Line 69">
          <a:extLst>
            <a:ext uri="{FF2B5EF4-FFF2-40B4-BE49-F238E27FC236}">
              <a16:creationId xmlns:a16="http://schemas.microsoft.com/office/drawing/2014/main" id="{00000000-0008-0000-0C00-0000455C0000}"/>
            </a:ext>
          </a:extLst>
        </xdr:cNvPr>
        <xdr:cNvSpPr>
          <a:spLocks noChangeShapeType="1"/>
        </xdr:cNvSpPr>
      </xdr:nvSpPr>
      <xdr:spPr bwMode="auto">
        <a:xfrm>
          <a:off x="4000500" y="7210425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28</xdr:row>
      <xdr:rowOff>114300</xdr:rowOff>
    </xdr:from>
    <xdr:to>
      <xdr:col>3</xdr:col>
      <xdr:colOff>838200</xdr:colOff>
      <xdr:row>29</xdr:row>
      <xdr:rowOff>76200</xdr:rowOff>
    </xdr:to>
    <xdr:sp macro="" textlink="">
      <xdr:nvSpPr>
        <xdr:cNvPr id="23622" name="Rectangle 70">
          <a:extLst>
            <a:ext uri="{FF2B5EF4-FFF2-40B4-BE49-F238E27FC236}">
              <a16:creationId xmlns:a16="http://schemas.microsoft.com/office/drawing/2014/main" id="{00000000-0008-0000-0C00-0000465C0000}"/>
            </a:ext>
          </a:extLst>
        </xdr:cNvPr>
        <xdr:cNvSpPr>
          <a:spLocks noChangeArrowheads="1"/>
        </xdr:cNvSpPr>
      </xdr:nvSpPr>
      <xdr:spPr bwMode="auto">
        <a:xfrm>
          <a:off x="3057525" y="5724525"/>
          <a:ext cx="533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29</xdr:row>
      <xdr:rowOff>0</xdr:rowOff>
    </xdr:from>
    <xdr:to>
      <xdr:col>3</xdr:col>
      <xdr:colOff>1285875</xdr:colOff>
      <xdr:row>29</xdr:row>
      <xdr:rowOff>0</xdr:rowOff>
    </xdr:to>
    <xdr:sp macro="" textlink="">
      <xdr:nvSpPr>
        <xdr:cNvPr id="23623" name="Line 71">
          <a:extLst>
            <a:ext uri="{FF2B5EF4-FFF2-40B4-BE49-F238E27FC236}">
              <a16:creationId xmlns:a16="http://schemas.microsoft.com/office/drawing/2014/main" id="{00000000-0008-0000-0C00-0000475C0000}"/>
            </a:ext>
          </a:extLst>
        </xdr:cNvPr>
        <xdr:cNvSpPr>
          <a:spLocks noChangeShapeType="1"/>
        </xdr:cNvSpPr>
      </xdr:nvSpPr>
      <xdr:spPr bwMode="auto">
        <a:xfrm>
          <a:off x="3609975" y="581025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28</xdr:row>
      <xdr:rowOff>180975</xdr:rowOff>
    </xdr:from>
    <xdr:to>
      <xdr:col>5</xdr:col>
      <xdr:colOff>514350</xdr:colOff>
      <xdr:row>28</xdr:row>
      <xdr:rowOff>190500</xdr:rowOff>
    </xdr:to>
    <xdr:sp macro="" textlink="">
      <xdr:nvSpPr>
        <xdr:cNvPr id="23624" name="Line 72">
          <a:extLst>
            <a:ext uri="{FF2B5EF4-FFF2-40B4-BE49-F238E27FC236}">
              <a16:creationId xmlns:a16="http://schemas.microsoft.com/office/drawing/2014/main" id="{00000000-0008-0000-0C00-0000485C0000}"/>
            </a:ext>
          </a:extLst>
        </xdr:cNvPr>
        <xdr:cNvSpPr>
          <a:spLocks noChangeShapeType="1"/>
        </xdr:cNvSpPr>
      </xdr:nvSpPr>
      <xdr:spPr bwMode="auto">
        <a:xfrm>
          <a:off x="4648200" y="5791200"/>
          <a:ext cx="752475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28</xdr:row>
      <xdr:rowOff>171450</xdr:rowOff>
    </xdr:from>
    <xdr:to>
      <xdr:col>5</xdr:col>
      <xdr:colOff>533400</xdr:colOff>
      <xdr:row>32</xdr:row>
      <xdr:rowOff>0</xdr:rowOff>
    </xdr:to>
    <xdr:sp macro="" textlink="">
      <xdr:nvSpPr>
        <xdr:cNvPr id="23625" name="Line 73">
          <a:extLst>
            <a:ext uri="{FF2B5EF4-FFF2-40B4-BE49-F238E27FC236}">
              <a16:creationId xmlns:a16="http://schemas.microsoft.com/office/drawing/2014/main" id="{00000000-0008-0000-0C00-0000495C0000}"/>
            </a:ext>
          </a:extLst>
        </xdr:cNvPr>
        <xdr:cNvSpPr>
          <a:spLocks noChangeShapeType="1"/>
        </xdr:cNvSpPr>
      </xdr:nvSpPr>
      <xdr:spPr bwMode="auto">
        <a:xfrm>
          <a:off x="5410200" y="5781675"/>
          <a:ext cx="9525" cy="628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190500</xdr:rowOff>
    </xdr:from>
    <xdr:to>
      <xdr:col>3</xdr:col>
      <xdr:colOff>9525</xdr:colOff>
      <xdr:row>32</xdr:row>
      <xdr:rowOff>19050</xdr:rowOff>
    </xdr:to>
    <xdr:sp macro="" textlink="">
      <xdr:nvSpPr>
        <xdr:cNvPr id="23626" name="Line 74">
          <a:extLst>
            <a:ext uri="{FF2B5EF4-FFF2-40B4-BE49-F238E27FC236}">
              <a16:creationId xmlns:a16="http://schemas.microsoft.com/office/drawing/2014/main" id="{00000000-0008-0000-0C00-00004A5C0000}"/>
            </a:ext>
          </a:extLst>
        </xdr:cNvPr>
        <xdr:cNvSpPr>
          <a:spLocks noChangeShapeType="1"/>
        </xdr:cNvSpPr>
      </xdr:nvSpPr>
      <xdr:spPr bwMode="auto">
        <a:xfrm>
          <a:off x="2752725" y="5800725"/>
          <a:ext cx="9525" cy="628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28</xdr:row>
      <xdr:rowOff>190500</xdr:rowOff>
    </xdr:from>
    <xdr:to>
      <xdr:col>3</xdr:col>
      <xdr:colOff>295275</xdr:colOff>
      <xdr:row>29</xdr:row>
      <xdr:rowOff>0</xdr:rowOff>
    </xdr:to>
    <xdr:sp macro="" textlink="">
      <xdr:nvSpPr>
        <xdr:cNvPr id="23627" name="Line 75">
          <a:extLst>
            <a:ext uri="{FF2B5EF4-FFF2-40B4-BE49-F238E27FC236}">
              <a16:creationId xmlns:a16="http://schemas.microsoft.com/office/drawing/2014/main" id="{00000000-0008-0000-0C00-00004B5C0000}"/>
            </a:ext>
          </a:extLst>
        </xdr:cNvPr>
        <xdr:cNvSpPr>
          <a:spLocks noChangeShapeType="1"/>
        </xdr:cNvSpPr>
      </xdr:nvSpPr>
      <xdr:spPr bwMode="auto">
        <a:xfrm flipV="1">
          <a:off x="2743200" y="5800725"/>
          <a:ext cx="3048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28</xdr:row>
      <xdr:rowOff>66675</xdr:rowOff>
    </xdr:from>
    <xdr:to>
      <xdr:col>4</xdr:col>
      <xdr:colOff>219075</xdr:colOff>
      <xdr:row>28</xdr:row>
      <xdr:rowOff>171450</xdr:rowOff>
    </xdr:to>
    <xdr:sp macro="" textlink="">
      <xdr:nvSpPr>
        <xdr:cNvPr id="23628" name="Line 76">
          <a:extLst>
            <a:ext uri="{FF2B5EF4-FFF2-40B4-BE49-F238E27FC236}">
              <a16:creationId xmlns:a16="http://schemas.microsoft.com/office/drawing/2014/main" id="{00000000-0008-0000-0C00-00004C5C0000}"/>
            </a:ext>
          </a:extLst>
        </xdr:cNvPr>
        <xdr:cNvSpPr>
          <a:spLocks noChangeShapeType="1"/>
        </xdr:cNvSpPr>
      </xdr:nvSpPr>
      <xdr:spPr bwMode="auto">
        <a:xfrm flipV="1">
          <a:off x="4152900" y="5676900"/>
          <a:ext cx="190500" cy="10477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28</xdr:row>
      <xdr:rowOff>161925</xdr:rowOff>
    </xdr:from>
    <xdr:to>
      <xdr:col>4</xdr:col>
      <xdr:colOff>447675</xdr:colOff>
      <xdr:row>29</xdr:row>
      <xdr:rowOff>123825</xdr:rowOff>
    </xdr:to>
    <xdr:sp macro="" textlink="">
      <xdr:nvSpPr>
        <xdr:cNvPr id="23629" name="Line 77">
          <a:extLst>
            <a:ext uri="{FF2B5EF4-FFF2-40B4-BE49-F238E27FC236}">
              <a16:creationId xmlns:a16="http://schemas.microsoft.com/office/drawing/2014/main" id="{00000000-0008-0000-0C00-00004D5C0000}"/>
            </a:ext>
          </a:extLst>
        </xdr:cNvPr>
        <xdr:cNvSpPr>
          <a:spLocks noChangeShapeType="1"/>
        </xdr:cNvSpPr>
      </xdr:nvSpPr>
      <xdr:spPr bwMode="auto">
        <a:xfrm flipV="1">
          <a:off x="4324350" y="5772150"/>
          <a:ext cx="247650" cy="1619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28</xdr:row>
      <xdr:rowOff>66675</xdr:rowOff>
    </xdr:from>
    <xdr:to>
      <xdr:col>4</xdr:col>
      <xdr:colOff>200025</xdr:colOff>
      <xdr:row>29</xdr:row>
      <xdr:rowOff>142875</xdr:rowOff>
    </xdr:to>
    <xdr:sp macro="" textlink="">
      <xdr:nvSpPr>
        <xdr:cNvPr id="23630" name="Line 78">
          <a:extLst>
            <a:ext uri="{FF2B5EF4-FFF2-40B4-BE49-F238E27FC236}">
              <a16:creationId xmlns:a16="http://schemas.microsoft.com/office/drawing/2014/main" id="{00000000-0008-0000-0C00-00004E5C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5676900"/>
          <a:ext cx="0" cy="2762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94</xdr:row>
      <xdr:rowOff>57150</xdr:rowOff>
    </xdr:from>
    <xdr:to>
      <xdr:col>5</xdr:col>
      <xdr:colOff>533400</xdr:colOff>
      <xdr:row>94</xdr:row>
      <xdr:rowOff>133350</xdr:rowOff>
    </xdr:to>
    <xdr:sp macro="" textlink="">
      <xdr:nvSpPr>
        <xdr:cNvPr id="23631" name="Oval 79">
          <a:extLst>
            <a:ext uri="{FF2B5EF4-FFF2-40B4-BE49-F238E27FC236}">
              <a16:creationId xmlns:a16="http://schemas.microsoft.com/office/drawing/2014/main" id="{00000000-0008-0000-0C00-00004F5C0000}"/>
            </a:ext>
          </a:extLst>
        </xdr:cNvPr>
        <xdr:cNvSpPr>
          <a:spLocks noChangeArrowheads="1"/>
        </xdr:cNvSpPr>
      </xdr:nvSpPr>
      <xdr:spPr bwMode="auto">
        <a:xfrm>
          <a:off x="5324475" y="17345025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99</xdr:row>
      <xdr:rowOff>123825</xdr:rowOff>
    </xdr:from>
    <xdr:to>
      <xdr:col>0</xdr:col>
      <xdr:colOff>619125</xdr:colOff>
      <xdr:row>100</xdr:row>
      <xdr:rowOff>28575</xdr:rowOff>
    </xdr:to>
    <xdr:sp macro="" textlink="">
      <xdr:nvSpPr>
        <xdr:cNvPr id="23632" name="Oval 80">
          <a:extLst>
            <a:ext uri="{FF2B5EF4-FFF2-40B4-BE49-F238E27FC236}">
              <a16:creationId xmlns:a16="http://schemas.microsoft.com/office/drawing/2014/main" id="{00000000-0008-0000-0C00-0000505C0000}"/>
            </a:ext>
          </a:extLst>
        </xdr:cNvPr>
        <xdr:cNvSpPr>
          <a:spLocks noChangeArrowheads="1"/>
        </xdr:cNvSpPr>
      </xdr:nvSpPr>
      <xdr:spPr bwMode="auto">
        <a:xfrm>
          <a:off x="542925" y="18297525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94</xdr:row>
      <xdr:rowOff>38100</xdr:rowOff>
    </xdr:from>
    <xdr:to>
      <xdr:col>0</xdr:col>
      <xdr:colOff>676275</xdr:colOff>
      <xdr:row>94</xdr:row>
      <xdr:rowOff>123825</xdr:rowOff>
    </xdr:to>
    <xdr:sp macro="" textlink="">
      <xdr:nvSpPr>
        <xdr:cNvPr id="23633" name="Oval 81">
          <a:extLst>
            <a:ext uri="{FF2B5EF4-FFF2-40B4-BE49-F238E27FC236}">
              <a16:creationId xmlns:a16="http://schemas.microsoft.com/office/drawing/2014/main" id="{00000000-0008-0000-0C00-0000515C0000}"/>
            </a:ext>
          </a:extLst>
        </xdr:cNvPr>
        <xdr:cNvSpPr>
          <a:spLocks noChangeArrowheads="1"/>
        </xdr:cNvSpPr>
      </xdr:nvSpPr>
      <xdr:spPr bwMode="auto">
        <a:xfrm>
          <a:off x="600075" y="1732597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94</xdr:row>
      <xdr:rowOff>57150</xdr:rowOff>
    </xdr:from>
    <xdr:to>
      <xdr:col>6</xdr:col>
      <xdr:colOff>66675</xdr:colOff>
      <xdr:row>94</xdr:row>
      <xdr:rowOff>133350</xdr:rowOff>
    </xdr:to>
    <xdr:sp macro="" textlink="">
      <xdr:nvSpPr>
        <xdr:cNvPr id="23634" name="Oval 82">
          <a:extLst>
            <a:ext uri="{FF2B5EF4-FFF2-40B4-BE49-F238E27FC236}">
              <a16:creationId xmlns:a16="http://schemas.microsoft.com/office/drawing/2014/main" id="{00000000-0008-0000-0C00-0000525C0000}"/>
            </a:ext>
          </a:extLst>
        </xdr:cNvPr>
        <xdr:cNvSpPr>
          <a:spLocks noChangeArrowheads="1"/>
        </xdr:cNvSpPr>
      </xdr:nvSpPr>
      <xdr:spPr bwMode="auto">
        <a:xfrm>
          <a:off x="5638800" y="173450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93</xdr:row>
      <xdr:rowOff>171450</xdr:rowOff>
    </xdr:from>
    <xdr:to>
      <xdr:col>4</xdr:col>
      <xdr:colOff>400050</xdr:colOff>
      <xdr:row>95</xdr:row>
      <xdr:rowOff>0</xdr:rowOff>
    </xdr:to>
    <xdr:sp macro="" textlink="">
      <xdr:nvSpPr>
        <xdr:cNvPr id="23635" name="Rectangle 83">
          <a:extLst>
            <a:ext uri="{FF2B5EF4-FFF2-40B4-BE49-F238E27FC236}">
              <a16:creationId xmlns:a16="http://schemas.microsoft.com/office/drawing/2014/main" id="{00000000-0008-0000-0C00-0000535C0000}"/>
            </a:ext>
          </a:extLst>
        </xdr:cNvPr>
        <xdr:cNvSpPr>
          <a:spLocks noChangeArrowheads="1"/>
        </xdr:cNvSpPr>
      </xdr:nvSpPr>
      <xdr:spPr bwMode="auto">
        <a:xfrm>
          <a:off x="3971925" y="17287875"/>
          <a:ext cx="552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93</xdr:row>
      <xdr:rowOff>190500</xdr:rowOff>
    </xdr:from>
    <xdr:to>
      <xdr:col>3</xdr:col>
      <xdr:colOff>809625</xdr:colOff>
      <xdr:row>94</xdr:row>
      <xdr:rowOff>152400</xdr:rowOff>
    </xdr:to>
    <xdr:sp macro="" textlink="">
      <xdr:nvSpPr>
        <xdr:cNvPr id="23636" name="Rectangle 84">
          <a:extLst>
            <a:ext uri="{FF2B5EF4-FFF2-40B4-BE49-F238E27FC236}">
              <a16:creationId xmlns:a16="http://schemas.microsoft.com/office/drawing/2014/main" id="{00000000-0008-0000-0C00-0000545C0000}"/>
            </a:ext>
          </a:extLst>
        </xdr:cNvPr>
        <xdr:cNvSpPr>
          <a:spLocks noChangeArrowheads="1"/>
        </xdr:cNvSpPr>
      </xdr:nvSpPr>
      <xdr:spPr bwMode="auto">
        <a:xfrm>
          <a:off x="3028950" y="17287875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97</xdr:row>
      <xdr:rowOff>28575</xdr:rowOff>
    </xdr:from>
    <xdr:to>
      <xdr:col>5</xdr:col>
      <xdr:colOff>342900</xdr:colOff>
      <xdr:row>97</xdr:row>
      <xdr:rowOff>28575</xdr:rowOff>
    </xdr:to>
    <xdr:sp macro="" textlink="">
      <xdr:nvSpPr>
        <xdr:cNvPr id="23637" name="Line 85">
          <a:extLst>
            <a:ext uri="{FF2B5EF4-FFF2-40B4-BE49-F238E27FC236}">
              <a16:creationId xmlns:a16="http://schemas.microsoft.com/office/drawing/2014/main" id="{00000000-0008-0000-0C00-0000555C0000}"/>
            </a:ext>
          </a:extLst>
        </xdr:cNvPr>
        <xdr:cNvSpPr>
          <a:spLocks noChangeShapeType="1"/>
        </xdr:cNvSpPr>
      </xdr:nvSpPr>
      <xdr:spPr bwMode="auto">
        <a:xfrm>
          <a:off x="4752975" y="178403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97</xdr:row>
      <xdr:rowOff>133350</xdr:rowOff>
    </xdr:from>
    <xdr:to>
      <xdr:col>5</xdr:col>
      <xdr:colOff>342900</xdr:colOff>
      <xdr:row>97</xdr:row>
      <xdr:rowOff>133350</xdr:rowOff>
    </xdr:to>
    <xdr:sp macro="" textlink="">
      <xdr:nvSpPr>
        <xdr:cNvPr id="23638" name="Line 86">
          <a:extLst>
            <a:ext uri="{FF2B5EF4-FFF2-40B4-BE49-F238E27FC236}">
              <a16:creationId xmlns:a16="http://schemas.microsoft.com/office/drawing/2014/main" id="{00000000-0008-0000-0C00-0000565C0000}"/>
            </a:ext>
          </a:extLst>
        </xdr:cNvPr>
        <xdr:cNvSpPr>
          <a:spLocks noChangeShapeType="1"/>
        </xdr:cNvSpPr>
      </xdr:nvSpPr>
      <xdr:spPr bwMode="auto">
        <a:xfrm>
          <a:off x="4752975" y="1794510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94</xdr:row>
      <xdr:rowOff>104775</xdr:rowOff>
    </xdr:from>
    <xdr:to>
      <xdr:col>5</xdr:col>
      <xdr:colOff>466725</xdr:colOff>
      <xdr:row>94</xdr:row>
      <xdr:rowOff>104775</xdr:rowOff>
    </xdr:to>
    <xdr:sp macro="" textlink="">
      <xdr:nvSpPr>
        <xdr:cNvPr id="23639" name="Line 87">
          <a:extLst>
            <a:ext uri="{FF2B5EF4-FFF2-40B4-BE49-F238E27FC236}">
              <a16:creationId xmlns:a16="http://schemas.microsoft.com/office/drawing/2014/main" id="{00000000-0008-0000-0C00-0000575C0000}"/>
            </a:ext>
          </a:extLst>
        </xdr:cNvPr>
        <xdr:cNvSpPr>
          <a:spLocks noChangeShapeType="1"/>
        </xdr:cNvSpPr>
      </xdr:nvSpPr>
      <xdr:spPr bwMode="auto">
        <a:xfrm>
          <a:off x="4972050" y="17392650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94</xdr:row>
      <xdr:rowOff>85725</xdr:rowOff>
    </xdr:from>
    <xdr:to>
      <xdr:col>3</xdr:col>
      <xdr:colOff>285750</xdr:colOff>
      <xdr:row>94</xdr:row>
      <xdr:rowOff>85725</xdr:rowOff>
    </xdr:to>
    <xdr:sp macro="" textlink="">
      <xdr:nvSpPr>
        <xdr:cNvPr id="23640" name="Line 88">
          <a:extLst>
            <a:ext uri="{FF2B5EF4-FFF2-40B4-BE49-F238E27FC236}">
              <a16:creationId xmlns:a16="http://schemas.microsoft.com/office/drawing/2014/main" id="{00000000-0008-0000-0C00-0000585C0000}"/>
            </a:ext>
          </a:extLst>
        </xdr:cNvPr>
        <xdr:cNvSpPr>
          <a:spLocks noChangeShapeType="1"/>
        </xdr:cNvSpPr>
      </xdr:nvSpPr>
      <xdr:spPr bwMode="auto">
        <a:xfrm flipV="1">
          <a:off x="695325" y="17373600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94</xdr:row>
      <xdr:rowOff>76200</xdr:rowOff>
    </xdr:from>
    <xdr:to>
      <xdr:col>3</xdr:col>
      <xdr:colOff>1238250</xdr:colOff>
      <xdr:row>94</xdr:row>
      <xdr:rowOff>76200</xdr:rowOff>
    </xdr:to>
    <xdr:sp macro="" textlink="">
      <xdr:nvSpPr>
        <xdr:cNvPr id="23641" name="Line 89">
          <a:extLst>
            <a:ext uri="{FF2B5EF4-FFF2-40B4-BE49-F238E27FC236}">
              <a16:creationId xmlns:a16="http://schemas.microsoft.com/office/drawing/2014/main" id="{00000000-0008-0000-0C00-0000595C0000}"/>
            </a:ext>
          </a:extLst>
        </xdr:cNvPr>
        <xdr:cNvSpPr>
          <a:spLocks noChangeShapeType="1"/>
        </xdr:cNvSpPr>
      </xdr:nvSpPr>
      <xdr:spPr bwMode="auto">
        <a:xfrm>
          <a:off x="3562350" y="173640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94</xdr:row>
      <xdr:rowOff>104775</xdr:rowOff>
    </xdr:from>
    <xdr:to>
      <xdr:col>5</xdr:col>
      <xdr:colOff>38100</xdr:colOff>
      <xdr:row>94</xdr:row>
      <xdr:rowOff>104775</xdr:rowOff>
    </xdr:to>
    <xdr:sp macro="" textlink="">
      <xdr:nvSpPr>
        <xdr:cNvPr id="23642" name="Line 90">
          <a:extLst>
            <a:ext uri="{FF2B5EF4-FFF2-40B4-BE49-F238E27FC236}">
              <a16:creationId xmlns:a16="http://schemas.microsoft.com/office/drawing/2014/main" id="{00000000-0008-0000-0C00-00005A5C0000}"/>
            </a:ext>
          </a:extLst>
        </xdr:cNvPr>
        <xdr:cNvSpPr>
          <a:spLocks noChangeShapeType="1"/>
        </xdr:cNvSpPr>
      </xdr:nvSpPr>
      <xdr:spPr bwMode="auto">
        <a:xfrm>
          <a:off x="4505325" y="17392650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99</xdr:row>
      <xdr:rowOff>171450</xdr:rowOff>
    </xdr:from>
    <xdr:to>
      <xdr:col>5</xdr:col>
      <xdr:colOff>85725</xdr:colOff>
      <xdr:row>99</xdr:row>
      <xdr:rowOff>171450</xdr:rowOff>
    </xdr:to>
    <xdr:sp macro="" textlink="">
      <xdr:nvSpPr>
        <xdr:cNvPr id="23643" name="Line 91">
          <a:extLst>
            <a:ext uri="{FF2B5EF4-FFF2-40B4-BE49-F238E27FC236}">
              <a16:creationId xmlns:a16="http://schemas.microsoft.com/office/drawing/2014/main" id="{00000000-0008-0000-0C00-00005B5C0000}"/>
            </a:ext>
          </a:extLst>
        </xdr:cNvPr>
        <xdr:cNvSpPr>
          <a:spLocks noChangeShapeType="1"/>
        </xdr:cNvSpPr>
      </xdr:nvSpPr>
      <xdr:spPr bwMode="auto">
        <a:xfrm>
          <a:off x="638175" y="18335625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94</xdr:row>
      <xdr:rowOff>95250</xdr:rowOff>
    </xdr:from>
    <xdr:to>
      <xdr:col>5</xdr:col>
      <xdr:colOff>95250</xdr:colOff>
      <xdr:row>97</xdr:row>
      <xdr:rowOff>28575</xdr:rowOff>
    </xdr:to>
    <xdr:sp macro="" textlink="">
      <xdr:nvSpPr>
        <xdr:cNvPr id="23644" name="Line 92">
          <a:extLst>
            <a:ext uri="{FF2B5EF4-FFF2-40B4-BE49-F238E27FC236}">
              <a16:creationId xmlns:a16="http://schemas.microsoft.com/office/drawing/2014/main" id="{00000000-0008-0000-0C00-00005C5C0000}"/>
            </a:ext>
          </a:extLst>
        </xdr:cNvPr>
        <xdr:cNvSpPr>
          <a:spLocks noChangeShapeType="1"/>
        </xdr:cNvSpPr>
      </xdr:nvSpPr>
      <xdr:spPr bwMode="auto">
        <a:xfrm>
          <a:off x="4981575" y="17383125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97</xdr:row>
      <xdr:rowOff>133350</xdr:rowOff>
    </xdr:from>
    <xdr:to>
      <xdr:col>5</xdr:col>
      <xdr:colOff>104775</xdr:colOff>
      <xdr:row>99</xdr:row>
      <xdr:rowOff>171450</xdr:rowOff>
    </xdr:to>
    <xdr:sp macro="" textlink="">
      <xdr:nvSpPr>
        <xdr:cNvPr id="23645" name="Line 93">
          <a:extLst>
            <a:ext uri="{FF2B5EF4-FFF2-40B4-BE49-F238E27FC236}">
              <a16:creationId xmlns:a16="http://schemas.microsoft.com/office/drawing/2014/main" id="{00000000-0008-0000-0C00-00005D5C0000}"/>
            </a:ext>
          </a:extLst>
        </xdr:cNvPr>
        <xdr:cNvSpPr>
          <a:spLocks noChangeShapeType="1"/>
        </xdr:cNvSpPr>
      </xdr:nvSpPr>
      <xdr:spPr bwMode="auto">
        <a:xfrm flipV="1">
          <a:off x="4991100" y="17945100"/>
          <a:ext cx="0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99</xdr:row>
      <xdr:rowOff>171450</xdr:rowOff>
    </xdr:from>
    <xdr:to>
      <xdr:col>1</xdr:col>
      <xdr:colOff>619125</xdr:colOff>
      <xdr:row>99</xdr:row>
      <xdr:rowOff>171450</xdr:rowOff>
    </xdr:to>
    <xdr:sp macro="" textlink="">
      <xdr:nvSpPr>
        <xdr:cNvPr id="23646" name="Line 94">
          <a:extLst>
            <a:ext uri="{FF2B5EF4-FFF2-40B4-BE49-F238E27FC236}">
              <a16:creationId xmlns:a16="http://schemas.microsoft.com/office/drawing/2014/main" id="{00000000-0008-0000-0C00-00005E5C0000}"/>
            </a:ext>
          </a:extLst>
        </xdr:cNvPr>
        <xdr:cNvSpPr>
          <a:spLocks noChangeShapeType="1"/>
        </xdr:cNvSpPr>
      </xdr:nvSpPr>
      <xdr:spPr bwMode="auto">
        <a:xfrm flipH="1">
          <a:off x="2038350" y="18335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96</xdr:row>
      <xdr:rowOff>0</xdr:rowOff>
    </xdr:from>
    <xdr:ext cx="76200" cy="200025"/>
    <xdr:sp macro="" textlink="">
      <xdr:nvSpPr>
        <xdr:cNvPr id="23647" name="Text Box 95">
          <a:extLst>
            <a:ext uri="{FF2B5EF4-FFF2-40B4-BE49-F238E27FC236}">
              <a16:creationId xmlns:a16="http://schemas.microsoft.com/office/drawing/2014/main" id="{00000000-0008-0000-0C00-00005F5C0000}"/>
            </a:ext>
          </a:extLst>
        </xdr:cNvPr>
        <xdr:cNvSpPr txBox="1">
          <a:spLocks noChangeArrowheads="1"/>
        </xdr:cNvSpPr>
      </xdr:nvSpPr>
      <xdr:spPr bwMode="auto">
        <a:xfrm>
          <a:off x="1819275" y="1761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98</xdr:row>
      <xdr:rowOff>28575</xdr:rowOff>
    </xdr:from>
    <xdr:to>
      <xdr:col>1</xdr:col>
      <xdr:colOff>542925</xdr:colOff>
      <xdr:row>99</xdr:row>
      <xdr:rowOff>95250</xdr:rowOff>
    </xdr:to>
    <xdr:sp macro="" textlink="">
      <xdr:nvSpPr>
        <xdr:cNvPr id="23648" name="Text Box 96">
          <a:extLst>
            <a:ext uri="{FF2B5EF4-FFF2-40B4-BE49-F238E27FC236}">
              <a16:creationId xmlns:a16="http://schemas.microsoft.com/office/drawing/2014/main" id="{00000000-0008-0000-0C00-0000605C0000}"/>
            </a:ext>
          </a:extLst>
        </xdr:cNvPr>
        <xdr:cNvSpPr txBox="1">
          <a:spLocks noChangeArrowheads="1"/>
        </xdr:cNvSpPr>
      </xdr:nvSpPr>
      <xdr:spPr bwMode="auto">
        <a:xfrm>
          <a:off x="2114550" y="18040350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94</xdr:row>
      <xdr:rowOff>95250</xdr:rowOff>
    </xdr:from>
    <xdr:to>
      <xdr:col>6</xdr:col>
      <xdr:colOff>523875</xdr:colOff>
      <xdr:row>94</xdr:row>
      <xdr:rowOff>104775</xdr:rowOff>
    </xdr:to>
    <xdr:sp macro="" textlink="">
      <xdr:nvSpPr>
        <xdr:cNvPr id="23649" name="Line 97">
          <a:extLst>
            <a:ext uri="{FF2B5EF4-FFF2-40B4-BE49-F238E27FC236}">
              <a16:creationId xmlns:a16="http://schemas.microsoft.com/office/drawing/2014/main" id="{00000000-0008-0000-0C00-0000615C0000}"/>
            </a:ext>
          </a:extLst>
        </xdr:cNvPr>
        <xdr:cNvSpPr>
          <a:spLocks noChangeShapeType="1"/>
        </xdr:cNvSpPr>
      </xdr:nvSpPr>
      <xdr:spPr bwMode="auto">
        <a:xfrm flipV="1">
          <a:off x="5715000" y="17383125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94</xdr:row>
      <xdr:rowOff>104775</xdr:rowOff>
    </xdr:from>
    <xdr:to>
      <xdr:col>6</xdr:col>
      <xdr:colOff>514350</xdr:colOff>
      <xdr:row>99</xdr:row>
      <xdr:rowOff>161925</xdr:rowOff>
    </xdr:to>
    <xdr:sp macro="" textlink="">
      <xdr:nvSpPr>
        <xdr:cNvPr id="23650" name="Line 98">
          <a:extLst>
            <a:ext uri="{FF2B5EF4-FFF2-40B4-BE49-F238E27FC236}">
              <a16:creationId xmlns:a16="http://schemas.microsoft.com/office/drawing/2014/main" id="{00000000-0008-0000-0C00-0000625C0000}"/>
            </a:ext>
          </a:extLst>
        </xdr:cNvPr>
        <xdr:cNvSpPr>
          <a:spLocks noChangeShapeType="1"/>
        </xdr:cNvSpPr>
      </xdr:nvSpPr>
      <xdr:spPr bwMode="auto">
        <a:xfrm>
          <a:off x="6162675" y="17392650"/>
          <a:ext cx="0" cy="9429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99</xdr:row>
      <xdr:rowOff>142875</xdr:rowOff>
    </xdr:from>
    <xdr:to>
      <xdr:col>3</xdr:col>
      <xdr:colOff>971550</xdr:colOff>
      <xdr:row>99</xdr:row>
      <xdr:rowOff>152400</xdr:rowOff>
    </xdr:to>
    <xdr:sp macro="" textlink="">
      <xdr:nvSpPr>
        <xdr:cNvPr id="23651" name="Line 99">
          <a:extLst>
            <a:ext uri="{FF2B5EF4-FFF2-40B4-BE49-F238E27FC236}">
              <a16:creationId xmlns:a16="http://schemas.microsoft.com/office/drawing/2014/main" id="{00000000-0008-0000-0C00-0000635C0000}"/>
            </a:ext>
          </a:extLst>
        </xdr:cNvPr>
        <xdr:cNvSpPr>
          <a:spLocks noChangeShapeType="1"/>
        </xdr:cNvSpPr>
      </xdr:nvSpPr>
      <xdr:spPr bwMode="auto">
        <a:xfrm flipV="1">
          <a:off x="3714750" y="18316575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99</xdr:row>
      <xdr:rowOff>161925</xdr:rowOff>
    </xdr:from>
    <xdr:to>
      <xdr:col>6</xdr:col>
      <xdr:colOff>523875</xdr:colOff>
      <xdr:row>99</xdr:row>
      <xdr:rowOff>171450</xdr:rowOff>
    </xdr:to>
    <xdr:sp macro="" textlink="">
      <xdr:nvSpPr>
        <xdr:cNvPr id="23652" name="Line 100">
          <a:extLst>
            <a:ext uri="{FF2B5EF4-FFF2-40B4-BE49-F238E27FC236}">
              <a16:creationId xmlns:a16="http://schemas.microsoft.com/office/drawing/2014/main" id="{00000000-0008-0000-0C00-0000645C0000}"/>
            </a:ext>
          </a:extLst>
        </xdr:cNvPr>
        <xdr:cNvSpPr>
          <a:spLocks noChangeShapeType="1"/>
        </xdr:cNvSpPr>
      </xdr:nvSpPr>
      <xdr:spPr bwMode="auto">
        <a:xfrm flipV="1">
          <a:off x="5000625" y="18335625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96</xdr:row>
      <xdr:rowOff>161925</xdr:rowOff>
    </xdr:from>
    <xdr:to>
      <xdr:col>0</xdr:col>
      <xdr:colOff>800100</xdr:colOff>
      <xdr:row>98</xdr:row>
      <xdr:rowOff>28575</xdr:rowOff>
    </xdr:to>
    <xdr:sp macro="" textlink="">
      <xdr:nvSpPr>
        <xdr:cNvPr id="23653" name="Text Box 101">
          <a:extLst>
            <a:ext uri="{FF2B5EF4-FFF2-40B4-BE49-F238E27FC236}">
              <a16:creationId xmlns:a16="http://schemas.microsoft.com/office/drawing/2014/main" id="{00000000-0008-0000-0C00-0000655C0000}"/>
            </a:ext>
          </a:extLst>
        </xdr:cNvPr>
        <xdr:cNvSpPr txBox="1">
          <a:spLocks noChangeArrowheads="1"/>
        </xdr:cNvSpPr>
      </xdr:nvSpPr>
      <xdr:spPr bwMode="auto">
        <a:xfrm>
          <a:off x="514350" y="17773650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1209675</xdr:colOff>
      <xdr:row>92</xdr:row>
      <xdr:rowOff>76200</xdr:rowOff>
    </xdr:from>
    <xdr:to>
      <xdr:col>4</xdr:col>
      <xdr:colOff>390525</xdr:colOff>
      <xdr:row>93</xdr:row>
      <xdr:rowOff>85725</xdr:rowOff>
    </xdr:to>
    <xdr:sp macro="" textlink="">
      <xdr:nvSpPr>
        <xdr:cNvPr id="23654" name="Rectangle 102">
          <a:extLst>
            <a:ext uri="{FF2B5EF4-FFF2-40B4-BE49-F238E27FC236}">
              <a16:creationId xmlns:a16="http://schemas.microsoft.com/office/drawing/2014/main" id="{00000000-0008-0000-0C00-0000665C0000}"/>
            </a:ext>
          </a:extLst>
        </xdr:cNvPr>
        <xdr:cNvSpPr>
          <a:spLocks noChangeArrowheads="1"/>
        </xdr:cNvSpPr>
      </xdr:nvSpPr>
      <xdr:spPr bwMode="auto">
        <a:xfrm>
          <a:off x="3962400" y="17040225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92</xdr:row>
      <xdr:rowOff>123825</xdr:rowOff>
    </xdr:from>
    <xdr:to>
      <xdr:col>3</xdr:col>
      <xdr:colOff>819150</xdr:colOff>
      <xdr:row>93</xdr:row>
      <xdr:rowOff>85725</xdr:rowOff>
    </xdr:to>
    <xdr:sp macro="" textlink="">
      <xdr:nvSpPr>
        <xdr:cNvPr id="23655" name="Rectangle 103">
          <a:extLst>
            <a:ext uri="{FF2B5EF4-FFF2-40B4-BE49-F238E27FC236}">
              <a16:creationId xmlns:a16="http://schemas.microsoft.com/office/drawing/2014/main" id="{00000000-0008-0000-0C00-0000675C0000}"/>
            </a:ext>
          </a:extLst>
        </xdr:cNvPr>
        <xdr:cNvSpPr>
          <a:spLocks noChangeArrowheads="1"/>
        </xdr:cNvSpPr>
      </xdr:nvSpPr>
      <xdr:spPr bwMode="auto">
        <a:xfrm>
          <a:off x="3038475" y="17087850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93</xdr:row>
      <xdr:rowOff>0</xdr:rowOff>
    </xdr:from>
    <xdr:to>
      <xdr:col>3</xdr:col>
      <xdr:colOff>1257300</xdr:colOff>
      <xdr:row>93</xdr:row>
      <xdr:rowOff>0</xdr:rowOff>
    </xdr:to>
    <xdr:sp macro="" textlink="">
      <xdr:nvSpPr>
        <xdr:cNvPr id="23656" name="Line 104">
          <a:extLst>
            <a:ext uri="{FF2B5EF4-FFF2-40B4-BE49-F238E27FC236}">
              <a16:creationId xmlns:a16="http://schemas.microsoft.com/office/drawing/2014/main" id="{00000000-0008-0000-0C00-0000685C0000}"/>
            </a:ext>
          </a:extLst>
        </xdr:cNvPr>
        <xdr:cNvSpPr>
          <a:spLocks noChangeShapeType="1"/>
        </xdr:cNvSpPr>
      </xdr:nvSpPr>
      <xdr:spPr bwMode="auto">
        <a:xfrm>
          <a:off x="3581400" y="1712595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93</xdr:row>
      <xdr:rowOff>9525</xdr:rowOff>
    </xdr:from>
    <xdr:to>
      <xdr:col>3</xdr:col>
      <xdr:colOff>276225</xdr:colOff>
      <xdr:row>93</xdr:row>
      <xdr:rowOff>9525</xdr:rowOff>
    </xdr:to>
    <xdr:sp macro="" textlink="">
      <xdr:nvSpPr>
        <xdr:cNvPr id="23657" name="Line 105">
          <a:extLst>
            <a:ext uri="{FF2B5EF4-FFF2-40B4-BE49-F238E27FC236}">
              <a16:creationId xmlns:a16="http://schemas.microsoft.com/office/drawing/2014/main" id="{00000000-0008-0000-0C00-0000695C0000}"/>
            </a:ext>
          </a:extLst>
        </xdr:cNvPr>
        <xdr:cNvSpPr>
          <a:spLocks noChangeShapeType="1"/>
        </xdr:cNvSpPr>
      </xdr:nvSpPr>
      <xdr:spPr bwMode="auto">
        <a:xfrm>
          <a:off x="2771775" y="17135475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89</xdr:row>
      <xdr:rowOff>66675</xdr:rowOff>
    </xdr:from>
    <xdr:to>
      <xdr:col>4</xdr:col>
      <xdr:colOff>95250</xdr:colOff>
      <xdr:row>90</xdr:row>
      <xdr:rowOff>142875</xdr:rowOff>
    </xdr:to>
    <xdr:sp macro="" textlink="">
      <xdr:nvSpPr>
        <xdr:cNvPr id="23658" name="Line 106">
          <a:extLst>
            <a:ext uri="{FF2B5EF4-FFF2-40B4-BE49-F238E27FC236}">
              <a16:creationId xmlns:a16="http://schemas.microsoft.com/office/drawing/2014/main" id="{00000000-0008-0000-0C00-00006A5C0000}"/>
            </a:ext>
          </a:extLst>
        </xdr:cNvPr>
        <xdr:cNvSpPr>
          <a:spLocks noChangeShapeType="1"/>
        </xdr:cNvSpPr>
      </xdr:nvSpPr>
      <xdr:spPr bwMode="auto">
        <a:xfrm>
          <a:off x="4219575" y="16506825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89</xdr:row>
      <xdr:rowOff>66675</xdr:rowOff>
    </xdr:from>
    <xdr:to>
      <xdr:col>4</xdr:col>
      <xdr:colOff>0</xdr:colOff>
      <xdr:row>90</xdr:row>
      <xdr:rowOff>142875</xdr:rowOff>
    </xdr:to>
    <xdr:sp macro="" textlink="">
      <xdr:nvSpPr>
        <xdr:cNvPr id="23659" name="Line 107">
          <a:extLst>
            <a:ext uri="{FF2B5EF4-FFF2-40B4-BE49-F238E27FC236}">
              <a16:creationId xmlns:a16="http://schemas.microsoft.com/office/drawing/2014/main" id="{00000000-0008-0000-0C00-00006B5C0000}"/>
            </a:ext>
          </a:extLst>
        </xdr:cNvPr>
        <xdr:cNvSpPr>
          <a:spLocks noChangeShapeType="1"/>
        </xdr:cNvSpPr>
      </xdr:nvSpPr>
      <xdr:spPr bwMode="auto">
        <a:xfrm>
          <a:off x="4124325" y="16506825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89</xdr:row>
      <xdr:rowOff>190500</xdr:rowOff>
    </xdr:from>
    <xdr:to>
      <xdr:col>5</xdr:col>
      <xdr:colOff>542925</xdr:colOff>
      <xdr:row>90</xdr:row>
      <xdr:rowOff>0</xdr:rowOff>
    </xdr:to>
    <xdr:sp macro="" textlink="">
      <xdr:nvSpPr>
        <xdr:cNvPr id="23660" name="Line 108">
          <a:extLst>
            <a:ext uri="{FF2B5EF4-FFF2-40B4-BE49-F238E27FC236}">
              <a16:creationId xmlns:a16="http://schemas.microsoft.com/office/drawing/2014/main" id="{00000000-0008-0000-0C00-00006C5C0000}"/>
            </a:ext>
          </a:extLst>
        </xdr:cNvPr>
        <xdr:cNvSpPr>
          <a:spLocks noChangeShapeType="1"/>
        </xdr:cNvSpPr>
      </xdr:nvSpPr>
      <xdr:spPr bwMode="auto">
        <a:xfrm flipV="1">
          <a:off x="4248150" y="16602075"/>
          <a:ext cx="1181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90</xdr:row>
      <xdr:rowOff>0</xdr:rowOff>
    </xdr:from>
    <xdr:to>
      <xdr:col>3</xdr:col>
      <xdr:colOff>1362075</xdr:colOff>
      <xdr:row>90</xdr:row>
      <xdr:rowOff>9525</xdr:rowOff>
    </xdr:to>
    <xdr:sp macro="" textlink="">
      <xdr:nvSpPr>
        <xdr:cNvPr id="23661" name="Line 109">
          <a:extLst>
            <a:ext uri="{FF2B5EF4-FFF2-40B4-BE49-F238E27FC236}">
              <a16:creationId xmlns:a16="http://schemas.microsoft.com/office/drawing/2014/main" id="{00000000-0008-0000-0C00-00006D5C0000}"/>
            </a:ext>
          </a:extLst>
        </xdr:cNvPr>
        <xdr:cNvSpPr>
          <a:spLocks noChangeShapeType="1"/>
        </xdr:cNvSpPr>
      </xdr:nvSpPr>
      <xdr:spPr bwMode="auto">
        <a:xfrm flipV="1">
          <a:off x="2781300" y="16602075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90</xdr:row>
      <xdr:rowOff>0</xdr:rowOff>
    </xdr:from>
    <xdr:to>
      <xdr:col>5</xdr:col>
      <xdr:colOff>542925</xdr:colOff>
      <xdr:row>93</xdr:row>
      <xdr:rowOff>9525</xdr:rowOff>
    </xdr:to>
    <xdr:sp macro="" textlink="">
      <xdr:nvSpPr>
        <xdr:cNvPr id="23662" name="Line 110">
          <a:extLst>
            <a:ext uri="{FF2B5EF4-FFF2-40B4-BE49-F238E27FC236}">
              <a16:creationId xmlns:a16="http://schemas.microsoft.com/office/drawing/2014/main" id="{00000000-0008-0000-0C00-00006E5C0000}"/>
            </a:ext>
          </a:extLst>
        </xdr:cNvPr>
        <xdr:cNvSpPr>
          <a:spLocks noChangeShapeType="1"/>
        </xdr:cNvSpPr>
      </xdr:nvSpPr>
      <xdr:spPr bwMode="auto">
        <a:xfrm>
          <a:off x="5419725" y="16602075"/>
          <a:ext cx="9525" cy="533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19050</xdr:colOff>
      <xdr:row>93</xdr:row>
      <xdr:rowOff>9525</xdr:rowOff>
    </xdr:to>
    <xdr:sp macro="" textlink="">
      <xdr:nvSpPr>
        <xdr:cNvPr id="23663" name="Line 111">
          <a:extLst>
            <a:ext uri="{FF2B5EF4-FFF2-40B4-BE49-F238E27FC236}">
              <a16:creationId xmlns:a16="http://schemas.microsoft.com/office/drawing/2014/main" id="{00000000-0008-0000-0C00-00006F5C0000}"/>
            </a:ext>
          </a:extLst>
        </xdr:cNvPr>
        <xdr:cNvSpPr>
          <a:spLocks noChangeShapeType="1"/>
        </xdr:cNvSpPr>
      </xdr:nvSpPr>
      <xdr:spPr bwMode="auto">
        <a:xfrm>
          <a:off x="2771775" y="16621125"/>
          <a:ext cx="0" cy="514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93</xdr:row>
      <xdr:rowOff>0</xdr:rowOff>
    </xdr:from>
    <xdr:to>
      <xdr:col>5</xdr:col>
      <xdr:colOff>533400</xdr:colOff>
      <xdr:row>93</xdr:row>
      <xdr:rowOff>0</xdr:rowOff>
    </xdr:to>
    <xdr:sp macro="" textlink="">
      <xdr:nvSpPr>
        <xdr:cNvPr id="23664" name="Line 112">
          <a:extLst>
            <a:ext uri="{FF2B5EF4-FFF2-40B4-BE49-F238E27FC236}">
              <a16:creationId xmlns:a16="http://schemas.microsoft.com/office/drawing/2014/main" id="{00000000-0008-0000-0C00-0000705C0000}"/>
            </a:ext>
          </a:extLst>
        </xdr:cNvPr>
        <xdr:cNvSpPr>
          <a:spLocks noChangeShapeType="1"/>
        </xdr:cNvSpPr>
      </xdr:nvSpPr>
      <xdr:spPr bwMode="auto">
        <a:xfrm flipV="1">
          <a:off x="4543425" y="17125950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93</xdr:row>
      <xdr:rowOff>133350</xdr:rowOff>
    </xdr:from>
    <xdr:to>
      <xdr:col>4</xdr:col>
      <xdr:colOff>400050</xdr:colOff>
      <xdr:row>93</xdr:row>
      <xdr:rowOff>133350</xdr:rowOff>
    </xdr:to>
    <xdr:sp macro="" textlink="">
      <xdr:nvSpPr>
        <xdr:cNvPr id="23665" name="Line 113">
          <a:extLst>
            <a:ext uri="{FF2B5EF4-FFF2-40B4-BE49-F238E27FC236}">
              <a16:creationId xmlns:a16="http://schemas.microsoft.com/office/drawing/2014/main" id="{00000000-0008-0000-0C00-0000715C0000}"/>
            </a:ext>
          </a:extLst>
        </xdr:cNvPr>
        <xdr:cNvSpPr>
          <a:spLocks noChangeShapeType="1"/>
        </xdr:cNvSpPr>
      </xdr:nvSpPr>
      <xdr:spPr bwMode="auto">
        <a:xfrm>
          <a:off x="4000500" y="17259300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86</xdr:row>
      <xdr:rowOff>114300</xdr:rowOff>
    </xdr:from>
    <xdr:to>
      <xdr:col>3</xdr:col>
      <xdr:colOff>838200</xdr:colOff>
      <xdr:row>87</xdr:row>
      <xdr:rowOff>76200</xdr:rowOff>
    </xdr:to>
    <xdr:sp macro="" textlink="">
      <xdr:nvSpPr>
        <xdr:cNvPr id="23666" name="Rectangle 114">
          <a:extLst>
            <a:ext uri="{FF2B5EF4-FFF2-40B4-BE49-F238E27FC236}">
              <a16:creationId xmlns:a16="http://schemas.microsoft.com/office/drawing/2014/main" id="{00000000-0008-0000-0C00-0000725C0000}"/>
            </a:ext>
          </a:extLst>
        </xdr:cNvPr>
        <xdr:cNvSpPr>
          <a:spLocks noChangeArrowheads="1"/>
        </xdr:cNvSpPr>
      </xdr:nvSpPr>
      <xdr:spPr bwMode="auto">
        <a:xfrm>
          <a:off x="3057525" y="16030575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87</xdr:row>
      <xdr:rowOff>0</xdr:rowOff>
    </xdr:from>
    <xdr:to>
      <xdr:col>3</xdr:col>
      <xdr:colOff>1285875</xdr:colOff>
      <xdr:row>87</xdr:row>
      <xdr:rowOff>0</xdr:rowOff>
    </xdr:to>
    <xdr:sp macro="" textlink="">
      <xdr:nvSpPr>
        <xdr:cNvPr id="23667" name="Line 115">
          <a:extLst>
            <a:ext uri="{FF2B5EF4-FFF2-40B4-BE49-F238E27FC236}">
              <a16:creationId xmlns:a16="http://schemas.microsoft.com/office/drawing/2014/main" id="{00000000-0008-0000-0C00-0000735C0000}"/>
            </a:ext>
          </a:extLst>
        </xdr:cNvPr>
        <xdr:cNvSpPr>
          <a:spLocks noChangeShapeType="1"/>
        </xdr:cNvSpPr>
      </xdr:nvSpPr>
      <xdr:spPr bwMode="auto">
        <a:xfrm>
          <a:off x="3609975" y="160782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86</xdr:row>
      <xdr:rowOff>180975</xdr:rowOff>
    </xdr:from>
    <xdr:to>
      <xdr:col>5</xdr:col>
      <xdr:colOff>514350</xdr:colOff>
      <xdr:row>86</xdr:row>
      <xdr:rowOff>190500</xdr:rowOff>
    </xdr:to>
    <xdr:sp macro="" textlink="">
      <xdr:nvSpPr>
        <xdr:cNvPr id="23668" name="Line 116">
          <a:extLst>
            <a:ext uri="{FF2B5EF4-FFF2-40B4-BE49-F238E27FC236}">
              <a16:creationId xmlns:a16="http://schemas.microsoft.com/office/drawing/2014/main" id="{00000000-0008-0000-0C00-0000745C0000}"/>
            </a:ext>
          </a:extLst>
        </xdr:cNvPr>
        <xdr:cNvSpPr>
          <a:spLocks noChangeShapeType="1"/>
        </xdr:cNvSpPr>
      </xdr:nvSpPr>
      <xdr:spPr bwMode="auto">
        <a:xfrm>
          <a:off x="4648200" y="16078200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86</xdr:row>
      <xdr:rowOff>171450</xdr:rowOff>
    </xdr:from>
    <xdr:to>
      <xdr:col>5</xdr:col>
      <xdr:colOff>533400</xdr:colOff>
      <xdr:row>90</xdr:row>
      <xdr:rowOff>0</xdr:rowOff>
    </xdr:to>
    <xdr:sp macro="" textlink="">
      <xdr:nvSpPr>
        <xdr:cNvPr id="23669" name="Line 117">
          <a:extLst>
            <a:ext uri="{FF2B5EF4-FFF2-40B4-BE49-F238E27FC236}">
              <a16:creationId xmlns:a16="http://schemas.microsoft.com/office/drawing/2014/main" id="{00000000-0008-0000-0C00-0000755C0000}"/>
            </a:ext>
          </a:extLst>
        </xdr:cNvPr>
        <xdr:cNvSpPr>
          <a:spLocks noChangeShapeType="1"/>
        </xdr:cNvSpPr>
      </xdr:nvSpPr>
      <xdr:spPr bwMode="auto">
        <a:xfrm>
          <a:off x="5410200" y="16078200"/>
          <a:ext cx="9525" cy="523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86</xdr:row>
      <xdr:rowOff>190500</xdr:rowOff>
    </xdr:from>
    <xdr:to>
      <xdr:col>3</xdr:col>
      <xdr:colOff>9525</xdr:colOff>
      <xdr:row>90</xdr:row>
      <xdr:rowOff>19050</xdr:rowOff>
    </xdr:to>
    <xdr:sp macro="" textlink="">
      <xdr:nvSpPr>
        <xdr:cNvPr id="23670" name="Line 118">
          <a:extLst>
            <a:ext uri="{FF2B5EF4-FFF2-40B4-BE49-F238E27FC236}">
              <a16:creationId xmlns:a16="http://schemas.microsoft.com/office/drawing/2014/main" id="{00000000-0008-0000-0C00-0000765C0000}"/>
            </a:ext>
          </a:extLst>
        </xdr:cNvPr>
        <xdr:cNvSpPr>
          <a:spLocks noChangeShapeType="1"/>
        </xdr:cNvSpPr>
      </xdr:nvSpPr>
      <xdr:spPr bwMode="auto">
        <a:xfrm>
          <a:off x="2752725" y="16078200"/>
          <a:ext cx="9525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86</xdr:row>
      <xdr:rowOff>190500</xdr:rowOff>
    </xdr:from>
    <xdr:to>
      <xdr:col>3</xdr:col>
      <xdr:colOff>295275</xdr:colOff>
      <xdr:row>87</xdr:row>
      <xdr:rowOff>0</xdr:rowOff>
    </xdr:to>
    <xdr:sp macro="" textlink="">
      <xdr:nvSpPr>
        <xdr:cNvPr id="23671" name="Line 119">
          <a:extLst>
            <a:ext uri="{FF2B5EF4-FFF2-40B4-BE49-F238E27FC236}">
              <a16:creationId xmlns:a16="http://schemas.microsoft.com/office/drawing/2014/main" id="{00000000-0008-0000-0C00-0000775C0000}"/>
            </a:ext>
          </a:extLst>
        </xdr:cNvPr>
        <xdr:cNvSpPr>
          <a:spLocks noChangeShapeType="1"/>
        </xdr:cNvSpPr>
      </xdr:nvSpPr>
      <xdr:spPr bwMode="auto">
        <a:xfrm flipV="1">
          <a:off x="2743200" y="16078200"/>
          <a:ext cx="304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86</xdr:row>
      <xdr:rowOff>66675</xdr:rowOff>
    </xdr:from>
    <xdr:to>
      <xdr:col>4</xdr:col>
      <xdr:colOff>219075</xdr:colOff>
      <xdr:row>86</xdr:row>
      <xdr:rowOff>171450</xdr:rowOff>
    </xdr:to>
    <xdr:sp macro="" textlink="">
      <xdr:nvSpPr>
        <xdr:cNvPr id="23672" name="Line 120">
          <a:extLst>
            <a:ext uri="{FF2B5EF4-FFF2-40B4-BE49-F238E27FC236}">
              <a16:creationId xmlns:a16="http://schemas.microsoft.com/office/drawing/2014/main" id="{00000000-0008-0000-0C00-0000785C0000}"/>
            </a:ext>
          </a:extLst>
        </xdr:cNvPr>
        <xdr:cNvSpPr>
          <a:spLocks noChangeShapeType="1"/>
        </xdr:cNvSpPr>
      </xdr:nvSpPr>
      <xdr:spPr bwMode="auto">
        <a:xfrm flipV="1">
          <a:off x="4152900" y="15982950"/>
          <a:ext cx="190500" cy="9525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86</xdr:row>
      <xdr:rowOff>161925</xdr:rowOff>
    </xdr:from>
    <xdr:to>
      <xdr:col>4</xdr:col>
      <xdr:colOff>447675</xdr:colOff>
      <xdr:row>87</xdr:row>
      <xdr:rowOff>123825</xdr:rowOff>
    </xdr:to>
    <xdr:sp macro="" textlink="">
      <xdr:nvSpPr>
        <xdr:cNvPr id="23673" name="Line 121">
          <a:extLst>
            <a:ext uri="{FF2B5EF4-FFF2-40B4-BE49-F238E27FC236}">
              <a16:creationId xmlns:a16="http://schemas.microsoft.com/office/drawing/2014/main" id="{00000000-0008-0000-0C00-0000795C0000}"/>
            </a:ext>
          </a:extLst>
        </xdr:cNvPr>
        <xdr:cNvSpPr>
          <a:spLocks noChangeShapeType="1"/>
        </xdr:cNvSpPr>
      </xdr:nvSpPr>
      <xdr:spPr bwMode="auto">
        <a:xfrm flipV="1">
          <a:off x="4324350" y="16078200"/>
          <a:ext cx="247650" cy="1238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86</xdr:row>
      <xdr:rowOff>66675</xdr:rowOff>
    </xdr:from>
    <xdr:to>
      <xdr:col>4</xdr:col>
      <xdr:colOff>200025</xdr:colOff>
      <xdr:row>87</xdr:row>
      <xdr:rowOff>142875</xdr:rowOff>
    </xdr:to>
    <xdr:sp macro="" textlink="">
      <xdr:nvSpPr>
        <xdr:cNvPr id="23674" name="Line 122">
          <a:extLst>
            <a:ext uri="{FF2B5EF4-FFF2-40B4-BE49-F238E27FC236}">
              <a16:creationId xmlns:a16="http://schemas.microsoft.com/office/drawing/2014/main" id="{00000000-0008-0000-0C00-00007A5C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15982950"/>
          <a:ext cx="0" cy="2381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93</xdr:row>
      <xdr:rowOff>9525</xdr:rowOff>
    </xdr:from>
    <xdr:to>
      <xdr:col>6</xdr:col>
      <xdr:colOff>28575</xdr:colOff>
      <xdr:row>94</xdr:row>
      <xdr:rowOff>76200</xdr:rowOff>
    </xdr:to>
    <xdr:sp macro="" textlink="">
      <xdr:nvSpPr>
        <xdr:cNvPr id="23675" name="Line 123">
          <a:extLst>
            <a:ext uri="{FF2B5EF4-FFF2-40B4-BE49-F238E27FC236}">
              <a16:creationId xmlns:a16="http://schemas.microsoft.com/office/drawing/2014/main" id="{00000000-0008-0000-0C00-00007B5C0000}"/>
            </a:ext>
          </a:extLst>
        </xdr:cNvPr>
        <xdr:cNvSpPr>
          <a:spLocks noChangeShapeType="1"/>
        </xdr:cNvSpPr>
      </xdr:nvSpPr>
      <xdr:spPr bwMode="auto">
        <a:xfrm flipV="1">
          <a:off x="5410200" y="17135475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93</xdr:row>
      <xdr:rowOff>95250</xdr:rowOff>
    </xdr:from>
    <xdr:to>
      <xdr:col>5</xdr:col>
      <xdr:colOff>704850</xdr:colOff>
      <xdr:row>95</xdr:row>
      <xdr:rowOff>0</xdr:rowOff>
    </xdr:to>
    <xdr:sp macro="" textlink="">
      <xdr:nvSpPr>
        <xdr:cNvPr id="23676" name="Freeform 124">
          <a:extLst>
            <a:ext uri="{FF2B5EF4-FFF2-40B4-BE49-F238E27FC236}">
              <a16:creationId xmlns:a16="http://schemas.microsoft.com/office/drawing/2014/main" id="{00000000-0008-0000-0C00-00007C5C0000}"/>
            </a:ext>
          </a:extLst>
        </xdr:cNvPr>
        <xdr:cNvSpPr>
          <a:spLocks/>
        </xdr:cNvSpPr>
      </xdr:nvSpPr>
      <xdr:spPr bwMode="auto">
        <a:xfrm>
          <a:off x="5381625" y="17221200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352425</xdr:colOff>
      <xdr:row>93</xdr:row>
      <xdr:rowOff>85725</xdr:rowOff>
    </xdr:from>
    <xdr:to>
      <xdr:col>5</xdr:col>
      <xdr:colOff>495300</xdr:colOff>
      <xdr:row>93</xdr:row>
      <xdr:rowOff>95250</xdr:rowOff>
    </xdr:to>
    <xdr:sp macro="" textlink="">
      <xdr:nvSpPr>
        <xdr:cNvPr id="23677" name="Line 125">
          <a:extLst>
            <a:ext uri="{FF2B5EF4-FFF2-40B4-BE49-F238E27FC236}">
              <a16:creationId xmlns:a16="http://schemas.microsoft.com/office/drawing/2014/main" id="{00000000-0008-0000-0C00-00007D5C0000}"/>
            </a:ext>
          </a:extLst>
        </xdr:cNvPr>
        <xdr:cNvSpPr>
          <a:spLocks noChangeShapeType="1"/>
        </xdr:cNvSpPr>
      </xdr:nvSpPr>
      <xdr:spPr bwMode="auto">
        <a:xfrm flipH="1" flipV="1">
          <a:off x="5238750" y="17211675"/>
          <a:ext cx="142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790575</xdr:colOff>
      <xdr:row>101</xdr:row>
      <xdr:rowOff>19050</xdr:rowOff>
    </xdr:from>
    <xdr:to>
      <xdr:col>6</xdr:col>
      <xdr:colOff>180975</xdr:colOff>
      <xdr:row>123</xdr:row>
      <xdr:rowOff>133350</xdr:rowOff>
    </xdr:to>
    <xdr:graphicFrame macro="">
      <xdr:nvGraphicFramePr>
        <xdr:cNvPr id="23678" name="Diagramm 126">
          <a:extLst>
            <a:ext uri="{FF2B5EF4-FFF2-40B4-BE49-F238E27FC236}">
              <a16:creationId xmlns:a16="http://schemas.microsoft.com/office/drawing/2014/main" id="{00000000-0008-0000-0C00-00007E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1343025</xdr:colOff>
      <xdr:row>202</xdr:row>
      <xdr:rowOff>47625</xdr:rowOff>
    </xdr:from>
    <xdr:to>
      <xdr:col>4</xdr:col>
      <xdr:colOff>66675</xdr:colOff>
      <xdr:row>202</xdr:row>
      <xdr:rowOff>123825</xdr:rowOff>
    </xdr:to>
    <xdr:sp macro="" textlink="">
      <xdr:nvSpPr>
        <xdr:cNvPr id="23679" name="Oval 127">
          <a:extLst>
            <a:ext uri="{FF2B5EF4-FFF2-40B4-BE49-F238E27FC236}">
              <a16:creationId xmlns:a16="http://schemas.microsoft.com/office/drawing/2014/main" id="{00000000-0008-0000-0C00-00007F5C0000}"/>
            </a:ext>
          </a:extLst>
        </xdr:cNvPr>
        <xdr:cNvSpPr>
          <a:spLocks noChangeArrowheads="1"/>
        </xdr:cNvSpPr>
      </xdr:nvSpPr>
      <xdr:spPr bwMode="auto">
        <a:xfrm>
          <a:off x="4095750" y="35347275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206</xdr:row>
      <xdr:rowOff>104775</xdr:rowOff>
    </xdr:from>
    <xdr:to>
      <xdr:col>0</xdr:col>
      <xdr:colOff>647700</xdr:colOff>
      <xdr:row>207</xdr:row>
      <xdr:rowOff>19050</xdr:rowOff>
    </xdr:to>
    <xdr:sp macro="" textlink="">
      <xdr:nvSpPr>
        <xdr:cNvPr id="23680" name="Oval 128">
          <a:extLst>
            <a:ext uri="{FF2B5EF4-FFF2-40B4-BE49-F238E27FC236}">
              <a16:creationId xmlns:a16="http://schemas.microsoft.com/office/drawing/2014/main" id="{00000000-0008-0000-0C00-0000805C0000}"/>
            </a:ext>
          </a:extLst>
        </xdr:cNvPr>
        <xdr:cNvSpPr>
          <a:spLocks noChangeArrowheads="1"/>
        </xdr:cNvSpPr>
      </xdr:nvSpPr>
      <xdr:spPr bwMode="auto">
        <a:xfrm>
          <a:off x="571500" y="360711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202</xdr:row>
      <xdr:rowOff>38100</xdr:rowOff>
    </xdr:from>
    <xdr:to>
      <xdr:col>0</xdr:col>
      <xdr:colOff>676275</xdr:colOff>
      <xdr:row>202</xdr:row>
      <xdr:rowOff>123825</xdr:rowOff>
    </xdr:to>
    <xdr:sp macro="" textlink="">
      <xdr:nvSpPr>
        <xdr:cNvPr id="23681" name="Oval 129">
          <a:extLst>
            <a:ext uri="{FF2B5EF4-FFF2-40B4-BE49-F238E27FC236}">
              <a16:creationId xmlns:a16="http://schemas.microsoft.com/office/drawing/2014/main" id="{00000000-0008-0000-0C00-0000815C0000}"/>
            </a:ext>
          </a:extLst>
        </xdr:cNvPr>
        <xdr:cNvSpPr>
          <a:spLocks noChangeArrowheads="1"/>
        </xdr:cNvSpPr>
      </xdr:nvSpPr>
      <xdr:spPr bwMode="auto">
        <a:xfrm>
          <a:off x="600075" y="3533775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202</xdr:row>
      <xdr:rowOff>47625</xdr:rowOff>
    </xdr:from>
    <xdr:to>
      <xdr:col>4</xdr:col>
      <xdr:colOff>352425</xdr:colOff>
      <xdr:row>202</xdr:row>
      <xdr:rowOff>123825</xdr:rowOff>
    </xdr:to>
    <xdr:sp macro="" textlink="">
      <xdr:nvSpPr>
        <xdr:cNvPr id="23682" name="Oval 130">
          <a:extLst>
            <a:ext uri="{FF2B5EF4-FFF2-40B4-BE49-F238E27FC236}">
              <a16:creationId xmlns:a16="http://schemas.microsoft.com/office/drawing/2014/main" id="{00000000-0008-0000-0C00-0000825C0000}"/>
            </a:ext>
          </a:extLst>
        </xdr:cNvPr>
        <xdr:cNvSpPr>
          <a:spLocks noChangeArrowheads="1"/>
        </xdr:cNvSpPr>
      </xdr:nvSpPr>
      <xdr:spPr bwMode="auto">
        <a:xfrm>
          <a:off x="4400550" y="353472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201</xdr:row>
      <xdr:rowOff>152400</xdr:rowOff>
    </xdr:from>
    <xdr:to>
      <xdr:col>1</xdr:col>
      <xdr:colOff>561975</xdr:colOff>
      <xdr:row>202</xdr:row>
      <xdr:rowOff>161925</xdr:rowOff>
    </xdr:to>
    <xdr:sp macro="" textlink="">
      <xdr:nvSpPr>
        <xdr:cNvPr id="23683" name="Rectangle 131">
          <a:extLst>
            <a:ext uri="{FF2B5EF4-FFF2-40B4-BE49-F238E27FC236}">
              <a16:creationId xmlns:a16="http://schemas.microsoft.com/office/drawing/2014/main" id="{00000000-0008-0000-0C00-0000835C0000}"/>
            </a:ext>
          </a:extLst>
        </xdr:cNvPr>
        <xdr:cNvSpPr>
          <a:spLocks noChangeArrowheads="1"/>
        </xdr:cNvSpPr>
      </xdr:nvSpPr>
      <xdr:spPr bwMode="auto">
        <a:xfrm>
          <a:off x="1695450" y="35252025"/>
          <a:ext cx="552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202</xdr:row>
      <xdr:rowOff>0</xdr:rowOff>
    </xdr:from>
    <xdr:to>
      <xdr:col>3</xdr:col>
      <xdr:colOff>533400</xdr:colOff>
      <xdr:row>202</xdr:row>
      <xdr:rowOff>171450</xdr:rowOff>
    </xdr:to>
    <xdr:sp macro="" textlink="">
      <xdr:nvSpPr>
        <xdr:cNvPr id="23684" name="Rectangle 132">
          <a:extLst>
            <a:ext uri="{FF2B5EF4-FFF2-40B4-BE49-F238E27FC236}">
              <a16:creationId xmlns:a16="http://schemas.microsoft.com/office/drawing/2014/main" id="{00000000-0008-0000-0C00-0000845C0000}"/>
            </a:ext>
          </a:extLst>
        </xdr:cNvPr>
        <xdr:cNvSpPr>
          <a:spLocks noChangeArrowheads="1"/>
        </xdr:cNvSpPr>
      </xdr:nvSpPr>
      <xdr:spPr bwMode="auto">
        <a:xfrm>
          <a:off x="2752725" y="35299650"/>
          <a:ext cx="533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762000</xdr:colOff>
      <xdr:row>204</xdr:row>
      <xdr:rowOff>19050</xdr:rowOff>
    </xdr:from>
    <xdr:to>
      <xdr:col>3</xdr:col>
      <xdr:colOff>1238250</xdr:colOff>
      <xdr:row>204</xdr:row>
      <xdr:rowOff>19050</xdr:rowOff>
    </xdr:to>
    <xdr:sp macro="" textlink="">
      <xdr:nvSpPr>
        <xdr:cNvPr id="23685" name="Line 133">
          <a:extLst>
            <a:ext uri="{FF2B5EF4-FFF2-40B4-BE49-F238E27FC236}">
              <a16:creationId xmlns:a16="http://schemas.microsoft.com/office/drawing/2014/main" id="{00000000-0008-0000-0C00-0000855C0000}"/>
            </a:ext>
          </a:extLst>
        </xdr:cNvPr>
        <xdr:cNvSpPr>
          <a:spLocks noChangeShapeType="1"/>
        </xdr:cNvSpPr>
      </xdr:nvSpPr>
      <xdr:spPr bwMode="auto">
        <a:xfrm>
          <a:off x="3514725" y="3566160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762000</xdr:colOff>
      <xdr:row>204</xdr:row>
      <xdr:rowOff>152400</xdr:rowOff>
    </xdr:from>
    <xdr:to>
      <xdr:col>3</xdr:col>
      <xdr:colOff>1238250</xdr:colOff>
      <xdr:row>204</xdr:row>
      <xdr:rowOff>152400</xdr:rowOff>
    </xdr:to>
    <xdr:sp macro="" textlink="">
      <xdr:nvSpPr>
        <xdr:cNvPr id="23686" name="Line 134">
          <a:extLst>
            <a:ext uri="{FF2B5EF4-FFF2-40B4-BE49-F238E27FC236}">
              <a16:creationId xmlns:a16="http://schemas.microsoft.com/office/drawing/2014/main" id="{00000000-0008-0000-0C00-0000865C0000}"/>
            </a:ext>
          </a:extLst>
        </xdr:cNvPr>
        <xdr:cNvSpPr>
          <a:spLocks noChangeShapeType="1"/>
        </xdr:cNvSpPr>
      </xdr:nvSpPr>
      <xdr:spPr bwMode="auto">
        <a:xfrm>
          <a:off x="3514725" y="357949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201</xdr:row>
      <xdr:rowOff>38100</xdr:rowOff>
    </xdr:from>
    <xdr:to>
      <xdr:col>4</xdr:col>
      <xdr:colOff>323850</xdr:colOff>
      <xdr:row>202</xdr:row>
      <xdr:rowOff>66675</xdr:rowOff>
    </xdr:to>
    <xdr:sp macro="" textlink="">
      <xdr:nvSpPr>
        <xdr:cNvPr id="23687" name="Line 135">
          <a:extLst>
            <a:ext uri="{FF2B5EF4-FFF2-40B4-BE49-F238E27FC236}">
              <a16:creationId xmlns:a16="http://schemas.microsoft.com/office/drawing/2014/main" id="{00000000-0008-0000-0C00-0000875C0000}"/>
            </a:ext>
          </a:extLst>
        </xdr:cNvPr>
        <xdr:cNvSpPr>
          <a:spLocks noChangeShapeType="1"/>
        </xdr:cNvSpPr>
      </xdr:nvSpPr>
      <xdr:spPr bwMode="auto">
        <a:xfrm flipV="1">
          <a:off x="4181475" y="35137725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202</xdr:row>
      <xdr:rowOff>85725</xdr:rowOff>
    </xdr:from>
    <xdr:to>
      <xdr:col>3</xdr:col>
      <xdr:colOff>1333500</xdr:colOff>
      <xdr:row>202</xdr:row>
      <xdr:rowOff>85725</xdr:rowOff>
    </xdr:to>
    <xdr:sp macro="" textlink="">
      <xdr:nvSpPr>
        <xdr:cNvPr id="23688" name="Line 136">
          <a:extLst>
            <a:ext uri="{FF2B5EF4-FFF2-40B4-BE49-F238E27FC236}">
              <a16:creationId xmlns:a16="http://schemas.microsoft.com/office/drawing/2014/main" id="{00000000-0008-0000-0C00-0000885C0000}"/>
            </a:ext>
          </a:extLst>
        </xdr:cNvPr>
        <xdr:cNvSpPr>
          <a:spLocks noChangeShapeType="1"/>
        </xdr:cNvSpPr>
      </xdr:nvSpPr>
      <xdr:spPr bwMode="auto">
        <a:xfrm>
          <a:off x="3705225" y="353853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202</xdr:row>
      <xdr:rowOff>85725</xdr:rowOff>
    </xdr:from>
    <xdr:to>
      <xdr:col>1</xdr:col>
      <xdr:colOff>57150</xdr:colOff>
      <xdr:row>202</xdr:row>
      <xdr:rowOff>85725</xdr:rowOff>
    </xdr:to>
    <xdr:sp macro="" textlink="">
      <xdr:nvSpPr>
        <xdr:cNvPr id="23689" name="Line 137">
          <a:extLst>
            <a:ext uri="{FF2B5EF4-FFF2-40B4-BE49-F238E27FC236}">
              <a16:creationId xmlns:a16="http://schemas.microsoft.com/office/drawing/2014/main" id="{00000000-0008-0000-0C00-0000895C0000}"/>
            </a:ext>
          </a:extLst>
        </xdr:cNvPr>
        <xdr:cNvSpPr>
          <a:spLocks noChangeShapeType="1"/>
        </xdr:cNvSpPr>
      </xdr:nvSpPr>
      <xdr:spPr bwMode="auto">
        <a:xfrm>
          <a:off x="695325" y="35385375"/>
          <a:ext cx="1047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202</xdr:row>
      <xdr:rowOff>76200</xdr:rowOff>
    </xdr:from>
    <xdr:to>
      <xdr:col>3</xdr:col>
      <xdr:colOff>9525</xdr:colOff>
      <xdr:row>202</xdr:row>
      <xdr:rowOff>76200</xdr:rowOff>
    </xdr:to>
    <xdr:sp macro="" textlink="">
      <xdr:nvSpPr>
        <xdr:cNvPr id="23690" name="Line 138">
          <a:extLst>
            <a:ext uri="{FF2B5EF4-FFF2-40B4-BE49-F238E27FC236}">
              <a16:creationId xmlns:a16="http://schemas.microsoft.com/office/drawing/2014/main" id="{00000000-0008-0000-0C00-00008A5C0000}"/>
            </a:ext>
          </a:extLst>
        </xdr:cNvPr>
        <xdr:cNvSpPr>
          <a:spLocks noChangeShapeType="1"/>
        </xdr:cNvSpPr>
      </xdr:nvSpPr>
      <xdr:spPr bwMode="auto">
        <a:xfrm>
          <a:off x="2247900" y="35375850"/>
          <a:ext cx="514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202</xdr:row>
      <xdr:rowOff>85725</xdr:rowOff>
    </xdr:from>
    <xdr:to>
      <xdr:col>3</xdr:col>
      <xdr:colOff>971550</xdr:colOff>
      <xdr:row>202</xdr:row>
      <xdr:rowOff>85725</xdr:rowOff>
    </xdr:to>
    <xdr:sp macro="" textlink="">
      <xdr:nvSpPr>
        <xdr:cNvPr id="23691" name="Line 139">
          <a:extLst>
            <a:ext uri="{FF2B5EF4-FFF2-40B4-BE49-F238E27FC236}">
              <a16:creationId xmlns:a16="http://schemas.microsoft.com/office/drawing/2014/main" id="{00000000-0008-0000-0C00-00008B5C0000}"/>
            </a:ext>
          </a:extLst>
        </xdr:cNvPr>
        <xdr:cNvSpPr>
          <a:spLocks noChangeShapeType="1"/>
        </xdr:cNvSpPr>
      </xdr:nvSpPr>
      <xdr:spPr bwMode="auto">
        <a:xfrm>
          <a:off x="3305175" y="353853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207</xdr:row>
      <xdr:rowOff>0</xdr:rowOff>
    </xdr:from>
    <xdr:to>
      <xdr:col>3</xdr:col>
      <xdr:colOff>981075</xdr:colOff>
      <xdr:row>207</xdr:row>
      <xdr:rowOff>0</xdr:rowOff>
    </xdr:to>
    <xdr:sp macro="" textlink="">
      <xdr:nvSpPr>
        <xdr:cNvPr id="23692" name="Line 140">
          <a:extLst>
            <a:ext uri="{FF2B5EF4-FFF2-40B4-BE49-F238E27FC236}">
              <a16:creationId xmlns:a16="http://schemas.microsoft.com/office/drawing/2014/main" id="{00000000-0008-0000-0C00-00008C5C0000}"/>
            </a:ext>
          </a:extLst>
        </xdr:cNvPr>
        <xdr:cNvSpPr>
          <a:spLocks noChangeShapeType="1"/>
        </xdr:cNvSpPr>
      </xdr:nvSpPr>
      <xdr:spPr bwMode="auto">
        <a:xfrm>
          <a:off x="657225" y="36128325"/>
          <a:ext cx="3076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202</xdr:row>
      <xdr:rowOff>85725</xdr:rowOff>
    </xdr:from>
    <xdr:to>
      <xdr:col>3</xdr:col>
      <xdr:colOff>952500</xdr:colOff>
      <xdr:row>204</xdr:row>
      <xdr:rowOff>19050</xdr:rowOff>
    </xdr:to>
    <xdr:sp macro="" textlink="">
      <xdr:nvSpPr>
        <xdr:cNvPr id="23693" name="Line 141">
          <a:extLst>
            <a:ext uri="{FF2B5EF4-FFF2-40B4-BE49-F238E27FC236}">
              <a16:creationId xmlns:a16="http://schemas.microsoft.com/office/drawing/2014/main" id="{00000000-0008-0000-0C00-00008D5C0000}"/>
            </a:ext>
          </a:extLst>
        </xdr:cNvPr>
        <xdr:cNvSpPr>
          <a:spLocks noChangeShapeType="1"/>
        </xdr:cNvSpPr>
      </xdr:nvSpPr>
      <xdr:spPr bwMode="auto">
        <a:xfrm>
          <a:off x="3705225" y="35385375"/>
          <a:ext cx="0" cy="276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205</xdr:row>
      <xdr:rowOff>0</xdr:rowOff>
    </xdr:from>
    <xdr:to>
      <xdr:col>3</xdr:col>
      <xdr:colOff>962025</xdr:colOff>
      <xdr:row>207</xdr:row>
      <xdr:rowOff>0</xdr:rowOff>
    </xdr:to>
    <xdr:sp macro="" textlink="">
      <xdr:nvSpPr>
        <xdr:cNvPr id="23694" name="Line 142">
          <a:extLst>
            <a:ext uri="{FF2B5EF4-FFF2-40B4-BE49-F238E27FC236}">
              <a16:creationId xmlns:a16="http://schemas.microsoft.com/office/drawing/2014/main" id="{00000000-0008-0000-0C00-00008E5C0000}"/>
            </a:ext>
          </a:extLst>
        </xdr:cNvPr>
        <xdr:cNvSpPr>
          <a:spLocks noChangeShapeType="1"/>
        </xdr:cNvSpPr>
      </xdr:nvSpPr>
      <xdr:spPr bwMode="auto">
        <a:xfrm flipV="1">
          <a:off x="3714750" y="35804475"/>
          <a:ext cx="0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203</xdr:row>
      <xdr:rowOff>38100</xdr:rowOff>
    </xdr:from>
    <xdr:to>
      <xdr:col>1</xdr:col>
      <xdr:colOff>381000</xdr:colOff>
      <xdr:row>204</xdr:row>
      <xdr:rowOff>104775</xdr:rowOff>
    </xdr:to>
    <xdr:sp macro="" textlink="">
      <xdr:nvSpPr>
        <xdr:cNvPr id="23695" name="Text Box 143">
          <a:extLst>
            <a:ext uri="{FF2B5EF4-FFF2-40B4-BE49-F238E27FC236}">
              <a16:creationId xmlns:a16="http://schemas.microsoft.com/office/drawing/2014/main" id="{00000000-0008-0000-0C00-00008F5C0000}"/>
            </a:ext>
          </a:extLst>
        </xdr:cNvPr>
        <xdr:cNvSpPr txBox="1">
          <a:spLocks noChangeArrowheads="1"/>
        </xdr:cNvSpPr>
      </xdr:nvSpPr>
      <xdr:spPr bwMode="auto">
        <a:xfrm>
          <a:off x="1781175" y="35518725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UL</a:t>
          </a:r>
          <a:endParaRPr lang="de-CH"/>
        </a:p>
      </xdr:txBody>
    </xdr:sp>
    <xdr:clientData/>
  </xdr:twoCellAnchor>
  <xdr:twoCellAnchor>
    <xdr:from>
      <xdr:col>3</xdr:col>
      <xdr:colOff>114300</xdr:colOff>
      <xdr:row>203</xdr:row>
      <xdr:rowOff>28575</xdr:rowOff>
    </xdr:from>
    <xdr:to>
      <xdr:col>3</xdr:col>
      <xdr:colOff>400050</xdr:colOff>
      <xdr:row>204</xdr:row>
      <xdr:rowOff>95250</xdr:rowOff>
    </xdr:to>
    <xdr:sp macro="" textlink="">
      <xdr:nvSpPr>
        <xdr:cNvPr id="23696" name="Text Box 144">
          <a:extLst>
            <a:ext uri="{FF2B5EF4-FFF2-40B4-BE49-F238E27FC236}">
              <a16:creationId xmlns:a16="http://schemas.microsoft.com/office/drawing/2014/main" id="{00000000-0008-0000-0C00-0000905C0000}"/>
            </a:ext>
          </a:extLst>
        </xdr:cNvPr>
        <xdr:cNvSpPr txBox="1">
          <a:spLocks noChangeArrowheads="1"/>
        </xdr:cNvSpPr>
      </xdr:nvSpPr>
      <xdr:spPr bwMode="auto">
        <a:xfrm>
          <a:off x="2867025" y="3550920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UR</a:t>
          </a:r>
          <a:endParaRPr lang="de-CH"/>
        </a:p>
      </xdr:txBody>
    </xdr:sp>
    <xdr:clientData/>
  </xdr:twoCellAnchor>
  <xdr:twoCellAnchor>
    <xdr:from>
      <xdr:col>1</xdr:col>
      <xdr:colOff>390525</xdr:colOff>
      <xdr:row>206</xdr:row>
      <xdr:rowOff>152400</xdr:rowOff>
    </xdr:from>
    <xdr:to>
      <xdr:col>1</xdr:col>
      <xdr:colOff>638175</xdr:colOff>
      <xdr:row>207</xdr:row>
      <xdr:rowOff>0</xdr:rowOff>
    </xdr:to>
    <xdr:sp macro="" textlink="">
      <xdr:nvSpPr>
        <xdr:cNvPr id="23697" name="Line 145">
          <a:extLst>
            <a:ext uri="{FF2B5EF4-FFF2-40B4-BE49-F238E27FC236}">
              <a16:creationId xmlns:a16="http://schemas.microsoft.com/office/drawing/2014/main" id="{00000000-0008-0000-0C00-0000915C0000}"/>
            </a:ext>
          </a:extLst>
        </xdr:cNvPr>
        <xdr:cNvSpPr>
          <a:spLocks noChangeShapeType="1"/>
        </xdr:cNvSpPr>
      </xdr:nvSpPr>
      <xdr:spPr bwMode="auto">
        <a:xfrm flipH="1">
          <a:off x="2076450" y="36118800"/>
          <a:ext cx="247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203</xdr:row>
      <xdr:rowOff>0</xdr:rowOff>
    </xdr:from>
    <xdr:ext cx="76200" cy="200025"/>
    <xdr:sp macro="" textlink="">
      <xdr:nvSpPr>
        <xdr:cNvPr id="23698" name="Text Box 146">
          <a:extLst>
            <a:ext uri="{FF2B5EF4-FFF2-40B4-BE49-F238E27FC236}">
              <a16:creationId xmlns:a16="http://schemas.microsoft.com/office/drawing/2014/main" id="{00000000-0008-0000-0C00-0000925C0000}"/>
            </a:ext>
          </a:extLst>
        </xdr:cNvPr>
        <xdr:cNvSpPr txBox="1">
          <a:spLocks noChangeArrowheads="1"/>
        </xdr:cNvSpPr>
      </xdr:nvSpPr>
      <xdr:spPr bwMode="auto">
        <a:xfrm>
          <a:off x="1819275" y="3548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205</xdr:row>
      <xdr:rowOff>28575</xdr:rowOff>
    </xdr:from>
    <xdr:to>
      <xdr:col>1</xdr:col>
      <xdr:colOff>542925</xdr:colOff>
      <xdr:row>206</xdr:row>
      <xdr:rowOff>95250</xdr:rowOff>
    </xdr:to>
    <xdr:sp macro="" textlink="">
      <xdr:nvSpPr>
        <xdr:cNvPr id="23699" name="Text Box 147">
          <a:extLst>
            <a:ext uri="{FF2B5EF4-FFF2-40B4-BE49-F238E27FC236}">
              <a16:creationId xmlns:a16="http://schemas.microsoft.com/office/drawing/2014/main" id="{00000000-0008-0000-0C00-0000935C0000}"/>
            </a:ext>
          </a:extLst>
        </xdr:cNvPr>
        <xdr:cNvSpPr txBox="1">
          <a:spLocks noChangeArrowheads="1"/>
        </xdr:cNvSpPr>
      </xdr:nvSpPr>
      <xdr:spPr bwMode="auto">
        <a:xfrm>
          <a:off x="2114550" y="35833050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4</xdr:col>
      <xdr:colOff>342900</xdr:colOff>
      <xdr:row>202</xdr:row>
      <xdr:rowOff>95250</xdr:rowOff>
    </xdr:from>
    <xdr:to>
      <xdr:col>5</xdr:col>
      <xdr:colOff>9525</xdr:colOff>
      <xdr:row>202</xdr:row>
      <xdr:rowOff>95250</xdr:rowOff>
    </xdr:to>
    <xdr:sp macro="" textlink="">
      <xdr:nvSpPr>
        <xdr:cNvPr id="23700" name="Line 148">
          <a:extLst>
            <a:ext uri="{FF2B5EF4-FFF2-40B4-BE49-F238E27FC236}">
              <a16:creationId xmlns:a16="http://schemas.microsoft.com/office/drawing/2014/main" id="{00000000-0008-0000-0C00-0000945C0000}"/>
            </a:ext>
          </a:extLst>
        </xdr:cNvPr>
        <xdr:cNvSpPr>
          <a:spLocks noChangeShapeType="1"/>
        </xdr:cNvSpPr>
      </xdr:nvSpPr>
      <xdr:spPr bwMode="auto">
        <a:xfrm>
          <a:off x="4467225" y="353949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202</xdr:row>
      <xdr:rowOff>85725</xdr:rowOff>
    </xdr:from>
    <xdr:to>
      <xdr:col>5</xdr:col>
      <xdr:colOff>0</xdr:colOff>
      <xdr:row>206</xdr:row>
      <xdr:rowOff>142875</xdr:rowOff>
    </xdr:to>
    <xdr:sp macro="" textlink="">
      <xdr:nvSpPr>
        <xdr:cNvPr id="23701" name="Line 149">
          <a:extLst>
            <a:ext uri="{FF2B5EF4-FFF2-40B4-BE49-F238E27FC236}">
              <a16:creationId xmlns:a16="http://schemas.microsoft.com/office/drawing/2014/main" id="{00000000-0008-0000-0C00-0000955C0000}"/>
            </a:ext>
          </a:extLst>
        </xdr:cNvPr>
        <xdr:cNvSpPr>
          <a:spLocks noChangeShapeType="1"/>
        </xdr:cNvSpPr>
      </xdr:nvSpPr>
      <xdr:spPr bwMode="auto">
        <a:xfrm>
          <a:off x="4886325" y="35385375"/>
          <a:ext cx="0" cy="723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206</xdr:row>
      <xdr:rowOff>142875</xdr:rowOff>
    </xdr:from>
    <xdr:to>
      <xdr:col>3</xdr:col>
      <xdr:colOff>971550</xdr:colOff>
      <xdr:row>206</xdr:row>
      <xdr:rowOff>152400</xdr:rowOff>
    </xdr:to>
    <xdr:sp macro="" textlink="">
      <xdr:nvSpPr>
        <xdr:cNvPr id="23702" name="Line 150">
          <a:extLst>
            <a:ext uri="{FF2B5EF4-FFF2-40B4-BE49-F238E27FC236}">
              <a16:creationId xmlns:a16="http://schemas.microsoft.com/office/drawing/2014/main" id="{00000000-0008-0000-0C00-0000965C0000}"/>
            </a:ext>
          </a:extLst>
        </xdr:cNvPr>
        <xdr:cNvSpPr>
          <a:spLocks noChangeShapeType="1"/>
        </xdr:cNvSpPr>
      </xdr:nvSpPr>
      <xdr:spPr bwMode="auto">
        <a:xfrm flipV="1">
          <a:off x="3714750" y="36109275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206</xdr:row>
      <xdr:rowOff>152400</xdr:rowOff>
    </xdr:from>
    <xdr:to>
      <xdr:col>5</xdr:col>
      <xdr:colOff>9525</xdr:colOff>
      <xdr:row>207</xdr:row>
      <xdr:rowOff>0</xdr:rowOff>
    </xdr:to>
    <xdr:sp macro="" textlink="">
      <xdr:nvSpPr>
        <xdr:cNvPr id="23703" name="Line 151">
          <a:extLst>
            <a:ext uri="{FF2B5EF4-FFF2-40B4-BE49-F238E27FC236}">
              <a16:creationId xmlns:a16="http://schemas.microsoft.com/office/drawing/2014/main" id="{00000000-0008-0000-0C00-0000975C0000}"/>
            </a:ext>
          </a:extLst>
        </xdr:cNvPr>
        <xdr:cNvSpPr>
          <a:spLocks noChangeShapeType="1"/>
        </xdr:cNvSpPr>
      </xdr:nvSpPr>
      <xdr:spPr bwMode="auto">
        <a:xfrm>
          <a:off x="3714750" y="36118800"/>
          <a:ext cx="1181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201</xdr:row>
      <xdr:rowOff>85725</xdr:rowOff>
    </xdr:from>
    <xdr:to>
      <xdr:col>4</xdr:col>
      <xdr:colOff>219075</xdr:colOff>
      <xdr:row>202</xdr:row>
      <xdr:rowOff>114300</xdr:rowOff>
    </xdr:to>
    <xdr:sp macro="" textlink="">
      <xdr:nvSpPr>
        <xdr:cNvPr id="23704" name="Freeform 152">
          <a:extLst>
            <a:ext uri="{FF2B5EF4-FFF2-40B4-BE49-F238E27FC236}">
              <a16:creationId xmlns:a16="http://schemas.microsoft.com/office/drawing/2014/main" id="{00000000-0008-0000-0C00-0000985C0000}"/>
            </a:ext>
          </a:extLst>
        </xdr:cNvPr>
        <xdr:cNvSpPr>
          <a:spLocks/>
        </xdr:cNvSpPr>
      </xdr:nvSpPr>
      <xdr:spPr bwMode="auto">
        <a:xfrm>
          <a:off x="4133850" y="35185350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1314450</xdr:colOff>
      <xdr:row>201</xdr:row>
      <xdr:rowOff>57150</xdr:rowOff>
    </xdr:from>
    <xdr:to>
      <xdr:col>4</xdr:col>
      <xdr:colOff>76200</xdr:colOff>
      <xdr:row>201</xdr:row>
      <xdr:rowOff>95250</xdr:rowOff>
    </xdr:to>
    <xdr:sp macro="" textlink="">
      <xdr:nvSpPr>
        <xdr:cNvPr id="23705" name="Line 153">
          <a:extLst>
            <a:ext uri="{FF2B5EF4-FFF2-40B4-BE49-F238E27FC236}">
              <a16:creationId xmlns:a16="http://schemas.microsoft.com/office/drawing/2014/main" id="{00000000-0008-0000-0C00-0000995C0000}"/>
            </a:ext>
          </a:extLst>
        </xdr:cNvPr>
        <xdr:cNvSpPr>
          <a:spLocks noChangeShapeType="1"/>
        </xdr:cNvSpPr>
      </xdr:nvSpPr>
      <xdr:spPr bwMode="auto">
        <a:xfrm flipH="1" flipV="1">
          <a:off x="4067175" y="35156775"/>
          <a:ext cx="1333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204</xdr:row>
      <xdr:rowOff>0</xdr:rowOff>
    </xdr:from>
    <xdr:to>
      <xdr:col>0</xdr:col>
      <xdr:colOff>752475</xdr:colOff>
      <xdr:row>205</xdr:row>
      <xdr:rowOff>66675</xdr:rowOff>
    </xdr:to>
    <xdr:sp macro="" textlink="">
      <xdr:nvSpPr>
        <xdr:cNvPr id="23706" name="Text Box 154">
          <a:extLst>
            <a:ext uri="{FF2B5EF4-FFF2-40B4-BE49-F238E27FC236}">
              <a16:creationId xmlns:a16="http://schemas.microsoft.com/office/drawing/2014/main" id="{00000000-0008-0000-0C00-00009A5C0000}"/>
            </a:ext>
          </a:extLst>
        </xdr:cNvPr>
        <xdr:cNvSpPr txBox="1">
          <a:spLocks noChangeArrowheads="1"/>
        </xdr:cNvSpPr>
      </xdr:nvSpPr>
      <xdr:spPr bwMode="auto">
        <a:xfrm>
          <a:off x="466725" y="35642550"/>
          <a:ext cx="285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1304925</xdr:colOff>
      <xdr:row>204</xdr:row>
      <xdr:rowOff>9525</xdr:rowOff>
    </xdr:from>
    <xdr:to>
      <xdr:col>4</xdr:col>
      <xdr:colOff>238125</xdr:colOff>
      <xdr:row>205</xdr:row>
      <xdr:rowOff>76200</xdr:rowOff>
    </xdr:to>
    <xdr:sp macro="" textlink="">
      <xdr:nvSpPr>
        <xdr:cNvPr id="23707" name="Text Box 155">
          <a:extLst>
            <a:ext uri="{FF2B5EF4-FFF2-40B4-BE49-F238E27FC236}">
              <a16:creationId xmlns:a16="http://schemas.microsoft.com/office/drawing/2014/main" id="{00000000-0008-0000-0C00-00009B5C0000}"/>
            </a:ext>
          </a:extLst>
        </xdr:cNvPr>
        <xdr:cNvSpPr txBox="1">
          <a:spLocks noChangeArrowheads="1"/>
        </xdr:cNvSpPr>
      </xdr:nvSpPr>
      <xdr:spPr bwMode="auto">
        <a:xfrm>
          <a:off x="4057650" y="35652075"/>
          <a:ext cx="304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Uc</a:t>
          </a:r>
          <a:endParaRPr lang="de-CH"/>
        </a:p>
      </xdr:txBody>
    </xdr:sp>
    <xdr:clientData/>
  </xdr:twoCellAnchor>
  <xdr:twoCellAnchor>
    <xdr:from>
      <xdr:col>5</xdr:col>
      <xdr:colOff>438150</xdr:colOff>
      <xdr:row>218</xdr:row>
      <xdr:rowOff>57150</xdr:rowOff>
    </xdr:from>
    <xdr:to>
      <xdr:col>5</xdr:col>
      <xdr:colOff>533400</xdr:colOff>
      <xdr:row>218</xdr:row>
      <xdr:rowOff>133350</xdr:rowOff>
    </xdr:to>
    <xdr:sp macro="" textlink="">
      <xdr:nvSpPr>
        <xdr:cNvPr id="23708" name="Oval 156">
          <a:extLst>
            <a:ext uri="{FF2B5EF4-FFF2-40B4-BE49-F238E27FC236}">
              <a16:creationId xmlns:a16="http://schemas.microsoft.com/office/drawing/2014/main" id="{00000000-0008-0000-0C00-00009C5C0000}"/>
            </a:ext>
          </a:extLst>
        </xdr:cNvPr>
        <xdr:cNvSpPr>
          <a:spLocks noChangeArrowheads="1"/>
        </xdr:cNvSpPr>
      </xdr:nvSpPr>
      <xdr:spPr bwMode="auto">
        <a:xfrm>
          <a:off x="5324475" y="38080950"/>
          <a:ext cx="9525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223</xdr:row>
      <xdr:rowOff>123825</xdr:rowOff>
    </xdr:from>
    <xdr:to>
      <xdr:col>0</xdr:col>
      <xdr:colOff>619125</xdr:colOff>
      <xdr:row>224</xdr:row>
      <xdr:rowOff>28575</xdr:rowOff>
    </xdr:to>
    <xdr:sp macro="" textlink="">
      <xdr:nvSpPr>
        <xdr:cNvPr id="23709" name="Oval 157">
          <a:extLst>
            <a:ext uri="{FF2B5EF4-FFF2-40B4-BE49-F238E27FC236}">
              <a16:creationId xmlns:a16="http://schemas.microsoft.com/office/drawing/2014/main" id="{00000000-0008-0000-0C00-00009D5C0000}"/>
            </a:ext>
          </a:extLst>
        </xdr:cNvPr>
        <xdr:cNvSpPr>
          <a:spLocks noChangeArrowheads="1"/>
        </xdr:cNvSpPr>
      </xdr:nvSpPr>
      <xdr:spPr bwMode="auto">
        <a:xfrm>
          <a:off x="542925" y="39033450"/>
          <a:ext cx="7620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218</xdr:row>
      <xdr:rowOff>38100</xdr:rowOff>
    </xdr:from>
    <xdr:to>
      <xdr:col>0</xdr:col>
      <xdr:colOff>676275</xdr:colOff>
      <xdr:row>218</xdr:row>
      <xdr:rowOff>123825</xdr:rowOff>
    </xdr:to>
    <xdr:sp macro="" textlink="">
      <xdr:nvSpPr>
        <xdr:cNvPr id="23710" name="Oval 158">
          <a:extLst>
            <a:ext uri="{FF2B5EF4-FFF2-40B4-BE49-F238E27FC236}">
              <a16:creationId xmlns:a16="http://schemas.microsoft.com/office/drawing/2014/main" id="{00000000-0008-0000-0C00-00009E5C0000}"/>
            </a:ext>
          </a:extLst>
        </xdr:cNvPr>
        <xdr:cNvSpPr>
          <a:spLocks noChangeArrowheads="1"/>
        </xdr:cNvSpPr>
      </xdr:nvSpPr>
      <xdr:spPr bwMode="auto">
        <a:xfrm>
          <a:off x="600075" y="380619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752475</xdr:colOff>
      <xdr:row>218</xdr:row>
      <xdr:rowOff>57150</xdr:rowOff>
    </xdr:from>
    <xdr:to>
      <xdr:col>6</xdr:col>
      <xdr:colOff>66675</xdr:colOff>
      <xdr:row>218</xdr:row>
      <xdr:rowOff>133350</xdr:rowOff>
    </xdr:to>
    <xdr:sp macro="" textlink="">
      <xdr:nvSpPr>
        <xdr:cNvPr id="23711" name="Oval 159">
          <a:extLst>
            <a:ext uri="{FF2B5EF4-FFF2-40B4-BE49-F238E27FC236}">
              <a16:creationId xmlns:a16="http://schemas.microsoft.com/office/drawing/2014/main" id="{00000000-0008-0000-0C00-00009F5C0000}"/>
            </a:ext>
          </a:extLst>
        </xdr:cNvPr>
        <xdr:cNvSpPr>
          <a:spLocks noChangeArrowheads="1"/>
        </xdr:cNvSpPr>
      </xdr:nvSpPr>
      <xdr:spPr bwMode="auto">
        <a:xfrm>
          <a:off x="5638800" y="380809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1219200</xdr:colOff>
      <xdr:row>217</xdr:row>
      <xdr:rowOff>171450</xdr:rowOff>
    </xdr:from>
    <xdr:to>
      <xdr:col>4</xdr:col>
      <xdr:colOff>400050</xdr:colOff>
      <xdr:row>219</xdr:row>
      <xdr:rowOff>0</xdr:rowOff>
    </xdr:to>
    <xdr:sp macro="" textlink="">
      <xdr:nvSpPr>
        <xdr:cNvPr id="23712" name="Rectangle 160">
          <a:extLst>
            <a:ext uri="{FF2B5EF4-FFF2-40B4-BE49-F238E27FC236}">
              <a16:creationId xmlns:a16="http://schemas.microsoft.com/office/drawing/2014/main" id="{00000000-0008-0000-0C00-0000A05C0000}"/>
            </a:ext>
          </a:extLst>
        </xdr:cNvPr>
        <xdr:cNvSpPr>
          <a:spLocks noChangeArrowheads="1"/>
        </xdr:cNvSpPr>
      </xdr:nvSpPr>
      <xdr:spPr bwMode="auto">
        <a:xfrm>
          <a:off x="3971925" y="38023800"/>
          <a:ext cx="552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217</xdr:row>
      <xdr:rowOff>190500</xdr:rowOff>
    </xdr:from>
    <xdr:to>
      <xdr:col>3</xdr:col>
      <xdr:colOff>809625</xdr:colOff>
      <xdr:row>218</xdr:row>
      <xdr:rowOff>152400</xdr:rowOff>
    </xdr:to>
    <xdr:sp macro="" textlink="">
      <xdr:nvSpPr>
        <xdr:cNvPr id="23713" name="Rectangle 161">
          <a:extLst>
            <a:ext uri="{FF2B5EF4-FFF2-40B4-BE49-F238E27FC236}">
              <a16:creationId xmlns:a16="http://schemas.microsoft.com/office/drawing/2014/main" id="{00000000-0008-0000-0C00-0000A15C0000}"/>
            </a:ext>
          </a:extLst>
        </xdr:cNvPr>
        <xdr:cNvSpPr>
          <a:spLocks noChangeArrowheads="1"/>
        </xdr:cNvSpPr>
      </xdr:nvSpPr>
      <xdr:spPr bwMode="auto">
        <a:xfrm>
          <a:off x="3028950" y="38023800"/>
          <a:ext cx="5334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221</xdr:row>
      <xdr:rowOff>28575</xdr:rowOff>
    </xdr:from>
    <xdr:to>
      <xdr:col>5</xdr:col>
      <xdr:colOff>342900</xdr:colOff>
      <xdr:row>221</xdr:row>
      <xdr:rowOff>28575</xdr:rowOff>
    </xdr:to>
    <xdr:sp macro="" textlink="">
      <xdr:nvSpPr>
        <xdr:cNvPr id="23714" name="Line 162">
          <a:extLst>
            <a:ext uri="{FF2B5EF4-FFF2-40B4-BE49-F238E27FC236}">
              <a16:creationId xmlns:a16="http://schemas.microsoft.com/office/drawing/2014/main" id="{00000000-0008-0000-0C00-0000A25C0000}"/>
            </a:ext>
          </a:extLst>
        </xdr:cNvPr>
        <xdr:cNvSpPr>
          <a:spLocks noChangeShapeType="1"/>
        </xdr:cNvSpPr>
      </xdr:nvSpPr>
      <xdr:spPr bwMode="auto">
        <a:xfrm>
          <a:off x="4752975" y="38576250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221</xdr:row>
      <xdr:rowOff>133350</xdr:rowOff>
    </xdr:from>
    <xdr:to>
      <xdr:col>5</xdr:col>
      <xdr:colOff>342900</xdr:colOff>
      <xdr:row>221</xdr:row>
      <xdr:rowOff>133350</xdr:rowOff>
    </xdr:to>
    <xdr:sp macro="" textlink="">
      <xdr:nvSpPr>
        <xdr:cNvPr id="23715" name="Line 163">
          <a:extLst>
            <a:ext uri="{FF2B5EF4-FFF2-40B4-BE49-F238E27FC236}">
              <a16:creationId xmlns:a16="http://schemas.microsoft.com/office/drawing/2014/main" id="{00000000-0008-0000-0C00-0000A35C0000}"/>
            </a:ext>
          </a:extLst>
        </xdr:cNvPr>
        <xdr:cNvSpPr>
          <a:spLocks noChangeShapeType="1"/>
        </xdr:cNvSpPr>
      </xdr:nvSpPr>
      <xdr:spPr bwMode="auto">
        <a:xfrm>
          <a:off x="4752975" y="38681025"/>
          <a:ext cx="4762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218</xdr:row>
      <xdr:rowOff>104775</xdr:rowOff>
    </xdr:from>
    <xdr:to>
      <xdr:col>5</xdr:col>
      <xdr:colOff>466725</xdr:colOff>
      <xdr:row>218</xdr:row>
      <xdr:rowOff>104775</xdr:rowOff>
    </xdr:to>
    <xdr:sp macro="" textlink="">
      <xdr:nvSpPr>
        <xdr:cNvPr id="23716" name="Line 164">
          <a:extLst>
            <a:ext uri="{FF2B5EF4-FFF2-40B4-BE49-F238E27FC236}">
              <a16:creationId xmlns:a16="http://schemas.microsoft.com/office/drawing/2014/main" id="{00000000-0008-0000-0C00-0000A45C0000}"/>
            </a:ext>
          </a:extLst>
        </xdr:cNvPr>
        <xdr:cNvSpPr>
          <a:spLocks noChangeShapeType="1"/>
        </xdr:cNvSpPr>
      </xdr:nvSpPr>
      <xdr:spPr bwMode="auto">
        <a:xfrm>
          <a:off x="4972050" y="38128575"/>
          <a:ext cx="381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218</xdr:row>
      <xdr:rowOff>85725</xdr:rowOff>
    </xdr:from>
    <xdr:to>
      <xdr:col>3</xdr:col>
      <xdr:colOff>285750</xdr:colOff>
      <xdr:row>218</xdr:row>
      <xdr:rowOff>85725</xdr:rowOff>
    </xdr:to>
    <xdr:sp macro="" textlink="">
      <xdr:nvSpPr>
        <xdr:cNvPr id="23717" name="Line 165">
          <a:extLst>
            <a:ext uri="{FF2B5EF4-FFF2-40B4-BE49-F238E27FC236}">
              <a16:creationId xmlns:a16="http://schemas.microsoft.com/office/drawing/2014/main" id="{00000000-0008-0000-0C00-0000A55C0000}"/>
            </a:ext>
          </a:extLst>
        </xdr:cNvPr>
        <xdr:cNvSpPr>
          <a:spLocks noChangeShapeType="1"/>
        </xdr:cNvSpPr>
      </xdr:nvSpPr>
      <xdr:spPr bwMode="auto">
        <a:xfrm flipV="1">
          <a:off x="695325" y="38109525"/>
          <a:ext cx="2343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218</xdr:row>
      <xdr:rowOff>76200</xdr:rowOff>
    </xdr:from>
    <xdr:to>
      <xdr:col>3</xdr:col>
      <xdr:colOff>1238250</xdr:colOff>
      <xdr:row>218</xdr:row>
      <xdr:rowOff>76200</xdr:rowOff>
    </xdr:to>
    <xdr:sp macro="" textlink="">
      <xdr:nvSpPr>
        <xdr:cNvPr id="23718" name="Line 166">
          <a:extLst>
            <a:ext uri="{FF2B5EF4-FFF2-40B4-BE49-F238E27FC236}">
              <a16:creationId xmlns:a16="http://schemas.microsoft.com/office/drawing/2014/main" id="{00000000-0008-0000-0C00-0000A65C0000}"/>
            </a:ext>
          </a:extLst>
        </xdr:cNvPr>
        <xdr:cNvSpPr>
          <a:spLocks noChangeShapeType="1"/>
        </xdr:cNvSpPr>
      </xdr:nvSpPr>
      <xdr:spPr bwMode="auto">
        <a:xfrm>
          <a:off x="3562350" y="38100000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218</xdr:row>
      <xdr:rowOff>104775</xdr:rowOff>
    </xdr:from>
    <xdr:to>
      <xdr:col>5</xdr:col>
      <xdr:colOff>38100</xdr:colOff>
      <xdr:row>218</xdr:row>
      <xdr:rowOff>104775</xdr:rowOff>
    </xdr:to>
    <xdr:sp macro="" textlink="">
      <xdr:nvSpPr>
        <xdr:cNvPr id="23719" name="Line 167">
          <a:extLst>
            <a:ext uri="{FF2B5EF4-FFF2-40B4-BE49-F238E27FC236}">
              <a16:creationId xmlns:a16="http://schemas.microsoft.com/office/drawing/2014/main" id="{00000000-0008-0000-0C00-0000A75C0000}"/>
            </a:ext>
          </a:extLst>
        </xdr:cNvPr>
        <xdr:cNvSpPr>
          <a:spLocks noChangeShapeType="1"/>
        </xdr:cNvSpPr>
      </xdr:nvSpPr>
      <xdr:spPr bwMode="auto">
        <a:xfrm>
          <a:off x="4505325" y="38128575"/>
          <a:ext cx="419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638175</xdr:colOff>
      <xdr:row>223</xdr:row>
      <xdr:rowOff>171450</xdr:rowOff>
    </xdr:from>
    <xdr:to>
      <xdr:col>5</xdr:col>
      <xdr:colOff>85725</xdr:colOff>
      <xdr:row>223</xdr:row>
      <xdr:rowOff>171450</xdr:rowOff>
    </xdr:to>
    <xdr:sp macro="" textlink="">
      <xdr:nvSpPr>
        <xdr:cNvPr id="23720" name="Line 168">
          <a:extLst>
            <a:ext uri="{FF2B5EF4-FFF2-40B4-BE49-F238E27FC236}">
              <a16:creationId xmlns:a16="http://schemas.microsoft.com/office/drawing/2014/main" id="{00000000-0008-0000-0C00-0000A85C0000}"/>
            </a:ext>
          </a:extLst>
        </xdr:cNvPr>
        <xdr:cNvSpPr>
          <a:spLocks noChangeShapeType="1"/>
        </xdr:cNvSpPr>
      </xdr:nvSpPr>
      <xdr:spPr bwMode="auto">
        <a:xfrm>
          <a:off x="638175" y="39071550"/>
          <a:ext cx="433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218</xdr:row>
      <xdr:rowOff>95250</xdr:rowOff>
    </xdr:from>
    <xdr:to>
      <xdr:col>5</xdr:col>
      <xdr:colOff>95250</xdr:colOff>
      <xdr:row>221</xdr:row>
      <xdr:rowOff>28575</xdr:rowOff>
    </xdr:to>
    <xdr:sp macro="" textlink="">
      <xdr:nvSpPr>
        <xdr:cNvPr id="23721" name="Line 169">
          <a:extLst>
            <a:ext uri="{FF2B5EF4-FFF2-40B4-BE49-F238E27FC236}">
              <a16:creationId xmlns:a16="http://schemas.microsoft.com/office/drawing/2014/main" id="{00000000-0008-0000-0C00-0000A95C0000}"/>
            </a:ext>
          </a:extLst>
        </xdr:cNvPr>
        <xdr:cNvSpPr>
          <a:spLocks noChangeShapeType="1"/>
        </xdr:cNvSpPr>
      </xdr:nvSpPr>
      <xdr:spPr bwMode="auto">
        <a:xfrm>
          <a:off x="4981575" y="38119050"/>
          <a:ext cx="0" cy="457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221</xdr:row>
      <xdr:rowOff>133350</xdr:rowOff>
    </xdr:from>
    <xdr:to>
      <xdr:col>5</xdr:col>
      <xdr:colOff>104775</xdr:colOff>
      <xdr:row>223</xdr:row>
      <xdr:rowOff>171450</xdr:rowOff>
    </xdr:to>
    <xdr:sp macro="" textlink="">
      <xdr:nvSpPr>
        <xdr:cNvPr id="23722" name="Line 170">
          <a:extLst>
            <a:ext uri="{FF2B5EF4-FFF2-40B4-BE49-F238E27FC236}">
              <a16:creationId xmlns:a16="http://schemas.microsoft.com/office/drawing/2014/main" id="{00000000-0008-0000-0C00-0000AA5C0000}"/>
            </a:ext>
          </a:extLst>
        </xdr:cNvPr>
        <xdr:cNvSpPr>
          <a:spLocks noChangeShapeType="1"/>
        </xdr:cNvSpPr>
      </xdr:nvSpPr>
      <xdr:spPr bwMode="auto">
        <a:xfrm flipV="1">
          <a:off x="4991100" y="38681025"/>
          <a:ext cx="0" cy="390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223</xdr:row>
      <xdr:rowOff>171450</xdr:rowOff>
    </xdr:from>
    <xdr:to>
      <xdr:col>1</xdr:col>
      <xdr:colOff>619125</xdr:colOff>
      <xdr:row>223</xdr:row>
      <xdr:rowOff>171450</xdr:rowOff>
    </xdr:to>
    <xdr:sp macro="" textlink="">
      <xdr:nvSpPr>
        <xdr:cNvPr id="23723" name="Line 171">
          <a:extLst>
            <a:ext uri="{FF2B5EF4-FFF2-40B4-BE49-F238E27FC236}">
              <a16:creationId xmlns:a16="http://schemas.microsoft.com/office/drawing/2014/main" id="{00000000-0008-0000-0C00-0000AB5C0000}"/>
            </a:ext>
          </a:extLst>
        </xdr:cNvPr>
        <xdr:cNvSpPr>
          <a:spLocks noChangeShapeType="1"/>
        </xdr:cNvSpPr>
      </xdr:nvSpPr>
      <xdr:spPr bwMode="auto">
        <a:xfrm flipH="1">
          <a:off x="2038350" y="390715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133350</xdr:colOff>
      <xdr:row>220</xdr:row>
      <xdr:rowOff>0</xdr:rowOff>
    </xdr:from>
    <xdr:ext cx="76200" cy="200025"/>
    <xdr:sp macro="" textlink="">
      <xdr:nvSpPr>
        <xdr:cNvPr id="23724" name="Text Box 172">
          <a:extLst>
            <a:ext uri="{FF2B5EF4-FFF2-40B4-BE49-F238E27FC236}">
              <a16:creationId xmlns:a16="http://schemas.microsoft.com/office/drawing/2014/main" id="{00000000-0008-0000-0C00-0000AC5C0000}"/>
            </a:ext>
          </a:extLst>
        </xdr:cNvPr>
        <xdr:cNvSpPr txBox="1">
          <a:spLocks noChangeArrowheads="1"/>
        </xdr:cNvSpPr>
      </xdr:nvSpPr>
      <xdr:spPr bwMode="auto">
        <a:xfrm>
          <a:off x="1819275" y="3834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428625</xdr:colOff>
      <xdr:row>222</xdr:row>
      <xdr:rowOff>28575</xdr:rowOff>
    </xdr:from>
    <xdr:to>
      <xdr:col>1</xdr:col>
      <xdr:colOff>542925</xdr:colOff>
      <xdr:row>223</xdr:row>
      <xdr:rowOff>95250</xdr:rowOff>
    </xdr:to>
    <xdr:sp macro="" textlink="">
      <xdr:nvSpPr>
        <xdr:cNvPr id="23725" name="Text Box 173">
          <a:extLst>
            <a:ext uri="{FF2B5EF4-FFF2-40B4-BE49-F238E27FC236}">
              <a16:creationId xmlns:a16="http://schemas.microsoft.com/office/drawing/2014/main" id="{00000000-0008-0000-0C00-0000AD5C0000}"/>
            </a:ext>
          </a:extLst>
        </xdr:cNvPr>
        <xdr:cNvSpPr txBox="1">
          <a:spLocks noChangeArrowheads="1"/>
        </xdr:cNvSpPr>
      </xdr:nvSpPr>
      <xdr:spPr bwMode="auto">
        <a:xfrm>
          <a:off x="2114550" y="38776275"/>
          <a:ext cx="1143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endParaRPr lang="de-CH"/>
        </a:p>
      </xdr:txBody>
    </xdr:sp>
    <xdr:clientData/>
  </xdr:twoCellAnchor>
  <xdr:twoCellAnchor>
    <xdr:from>
      <xdr:col>6</xdr:col>
      <xdr:colOff>66675</xdr:colOff>
      <xdr:row>218</xdr:row>
      <xdr:rowOff>95250</xdr:rowOff>
    </xdr:from>
    <xdr:to>
      <xdr:col>6</xdr:col>
      <xdr:colOff>523875</xdr:colOff>
      <xdr:row>218</xdr:row>
      <xdr:rowOff>104775</xdr:rowOff>
    </xdr:to>
    <xdr:sp macro="" textlink="">
      <xdr:nvSpPr>
        <xdr:cNvPr id="23726" name="Line 174">
          <a:extLst>
            <a:ext uri="{FF2B5EF4-FFF2-40B4-BE49-F238E27FC236}">
              <a16:creationId xmlns:a16="http://schemas.microsoft.com/office/drawing/2014/main" id="{00000000-0008-0000-0C00-0000AE5C0000}"/>
            </a:ext>
          </a:extLst>
        </xdr:cNvPr>
        <xdr:cNvSpPr>
          <a:spLocks noChangeShapeType="1"/>
        </xdr:cNvSpPr>
      </xdr:nvSpPr>
      <xdr:spPr bwMode="auto">
        <a:xfrm flipV="1">
          <a:off x="5715000" y="38119050"/>
          <a:ext cx="4572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218</xdr:row>
      <xdr:rowOff>104775</xdr:rowOff>
    </xdr:from>
    <xdr:to>
      <xdr:col>6</xdr:col>
      <xdr:colOff>514350</xdr:colOff>
      <xdr:row>223</xdr:row>
      <xdr:rowOff>161925</xdr:rowOff>
    </xdr:to>
    <xdr:sp macro="" textlink="">
      <xdr:nvSpPr>
        <xdr:cNvPr id="23727" name="Line 175">
          <a:extLst>
            <a:ext uri="{FF2B5EF4-FFF2-40B4-BE49-F238E27FC236}">
              <a16:creationId xmlns:a16="http://schemas.microsoft.com/office/drawing/2014/main" id="{00000000-0008-0000-0C00-0000AF5C0000}"/>
            </a:ext>
          </a:extLst>
        </xdr:cNvPr>
        <xdr:cNvSpPr>
          <a:spLocks noChangeShapeType="1"/>
        </xdr:cNvSpPr>
      </xdr:nvSpPr>
      <xdr:spPr bwMode="auto">
        <a:xfrm>
          <a:off x="6162675" y="38128575"/>
          <a:ext cx="0" cy="9429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223</xdr:row>
      <xdr:rowOff>142875</xdr:rowOff>
    </xdr:from>
    <xdr:to>
      <xdr:col>3</xdr:col>
      <xdr:colOff>971550</xdr:colOff>
      <xdr:row>223</xdr:row>
      <xdr:rowOff>152400</xdr:rowOff>
    </xdr:to>
    <xdr:sp macro="" textlink="">
      <xdr:nvSpPr>
        <xdr:cNvPr id="23728" name="Line 176">
          <a:extLst>
            <a:ext uri="{FF2B5EF4-FFF2-40B4-BE49-F238E27FC236}">
              <a16:creationId xmlns:a16="http://schemas.microsoft.com/office/drawing/2014/main" id="{00000000-0008-0000-0C00-0000B05C0000}"/>
            </a:ext>
          </a:extLst>
        </xdr:cNvPr>
        <xdr:cNvSpPr>
          <a:spLocks noChangeShapeType="1"/>
        </xdr:cNvSpPr>
      </xdr:nvSpPr>
      <xdr:spPr bwMode="auto">
        <a:xfrm flipV="1">
          <a:off x="3714750" y="390525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223</xdr:row>
      <xdr:rowOff>161925</xdr:rowOff>
    </xdr:from>
    <xdr:to>
      <xdr:col>6</xdr:col>
      <xdr:colOff>523875</xdr:colOff>
      <xdr:row>223</xdr:row>
      <xdr:rowOff>171450</xdr:rowOff>
    </xdr:to>
    <xdr:sp macro="" textlink="">
      <xdr:nvSpPr>
        <xdr:cNvPr id="23729" name="Line 177">
          <a:extLst>
            <a:ext uri="{FF2B5EF4-FFF2-40B4-BE49-F238E27FC236}">
              <a16:creationId xmlns:a16="http://schemas.microsoft.com/office/drawing/2014/main" id="{00000000-0008-0000-0C00-0000B15C0000}"/>
            </a:ext>
          </a:extLst>
        </xdr:cNvPr>
        <xdr:cNvSpPr>
          <a:spLocks noChangeShapeType="1"/>
        </xdr:cNvSpPr>
      </xdr:nvSpPr>
      <xdr:spPr bwMode="auto">
        <a:xfrm flipV="1">
          <a:off x="5000625" y="39071550"/>
          <a:ext cx="11715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220</xdr:row>
      <xdr:rowOff>161925</xdr:rowOff>
    </xdr:from>
    <xdr:to>
      <xdr:col>0</xdr:col>
      <xdr:colOff>800100</xdr:colOff>
      <xdr:row>222</xdr:row>
      <xdr:rowOff>28575</xdr:rowOff>
    </xdr:to>
    <xdr:sp macro="" textlink="">
      <xdr:nvSpPr>
        <xdr:cNvPr id="23730" name="Text Box 178">
          <a:extLst>
            <a:ext uri="{FF2B5EF4-FFF2-40B4-BE49-F238E27FC236}">
              <a16:creationId xmlns:a16="http://schemas.microsoft.com/office/drawing/2014/main" id="{00000000-0008-0000-0C00-0000B25C0000}"/>
            </a:ext>
          </a:extLst>
        </xdr:cNvPr>
        <xdr:cNvSpPr txBox="1">
          <a:spLocks noChangeArrowheads="1"/>
        </xdr:cNvSpPr>
      </xdr:nvSpPr>
      <xdr:spPr bwMode="auto">
        <a:xfrm>
          <a:off x="514350" y="38509575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Uo</a:t>
          </a:r>
          <a:endParaRPr lang="de-CH"/>
        </a:p>
      </xdr:txBody>
    </xdr:sp>
    <xdr:clientData/>
  </xdr:twoCellAnchor>
  <xdr:twoCellAnchor>
    <xdr:from>
      <xdr:col>3</xdr:col>
      <xdr:colOff>1209675</xdr:colOff>
      <xdr:row>216</xdr:row>
      <xdr:rowOff>76200</xdr:rowOff>
    </xdr:from>
    <xdr:to>
      <xdr:col>4</xdr:col>
      <xdr:colOff>390525</xdr:colOff>
      <xdr:row>217</xdr:row>
      <xdr:rowOff>85725</xdr:rowOff>
    </xdr:to>
    <xdr:sp macro="" textlink="">
      <xdr:nvSpPr>
        <xdr:cNvPr id="23731" name="Rectangle 179">
          <a:extLst>
            <a:ext uri="{FF2B5EF4-FFF2-40B4-BE49-F238E27FC236}">
              <a16:creationId xmlns:a16="http://schemas.microsoft.com/office/drawing/2014/main" id="{00000000-0008-0000-0C00-0000B35C0000}"/>
            </a:ext>
          </a:extLst>
        </xdr:cNvPr>
        <xdr:cNvSpPr>
          <a:spLocks noChangeArrowheads="1"/>
        </xdr:cNvSpPr>
      </xdr:nvSpPr>
      <xdr:spPr bwMode="auto">
        <a:xfrm>
          <a:off x="3962400" y="37776150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216</xdr:row>
      <xdr:rowOff>123825</xdr:rowOff>
    </xdr:from>
    <xdr:to>
      <xdr:col>3</xdr:col>
      <xdr:colOff>819150</xdr:colOff>
      <xdr:row>217</xdr:row>
      <xdr:rowOff>85725</xdr:rowOff>
    </xdr:to>
    <xdr:sp macro="" textlink="">
      <xdr:nvSpPr>
        <xdr:cNvPr id="23732" name="Rectangle 180">
          <a:extLst>
            <a:ext uri="{FF2B5EF4-FFF2-40B4-BE49-F238E27FC236}">
              <a16:creationId xmlns:a16="http://schemas.microsoft.com/office/drawing/2014/main" id="{00000000-0008-0000-0C00-0000B45C0000}"/>
            </a:ext>
          </a:extLst>
        </xdr:cNvPr>
        <xdr:cNvSpPr>
          <a:spLocks noChangeArrowheads="1"/>
        </xdr:cNvSpPr>
      </xdr:nvSpPr>
      <xdr:spPr bwMode="auto">
        <a:xfrm>
          <a:off x="3038475" y="37823775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828675</xdr:colOff>
      <xdr:row>217</xdr:row>
      <xdr:rowOff>0</xdr:rowOff>
    </xdr:from>
    <xdr:to>
      <xdr:col>3</xdr:col>
      <xdr:colOff>1257300</xdr:colOff>
      <xdr:row>217</xdr:row>
      <xdr:rowOff>0</xdr:rowOff>
    </xdr:to>
    <xdr:sp macro="" textlink="">
      <xdr:nvSpPr>
        <xdr:cNvPr id="23733" name="Line 181">
          <a:extLst>
            <a:ext uri="{FF2B5EF4-FFF2-40B4-BE49-F238E27FC236}">
              <a16:creationId xmlns:a16="http://schemas.microsoft.com/office/drawing/2014/main" id="{00000000-0008-0000-0C00-0000B55C0000}"/>
            </a:ext>
          </a:extLst>
        </xdr:cNvPr>
        <xdr:cNvSpPr>
          <a:spLocks noChangeShapeType="1"/>
        </xdr:cNvSpPr>
      </xdr:nvSpPr>
      <xdr:spPr bwMode="auto">
        <a:xfrm>
          <a:off x="3581400" y="378618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217</xdr:row>
      <xdr:rowOff>9525</xdr:rowOff>
    </xdr:from>
    <xdr:to>
      <xdr:col>3</xdr:col>
      <xdr:colOff>276225</xdr:colOff>
      <xdr:row>217</xdr:row>
      <xdr:rowOff>9525</xdr:rowOff>
    </xdr:to>
    <xdr:sp macro="" textlink="">
      <xdr:nvSpPr>
        <xdr:cNvPr id="23734" name="Line 182">
          <a:extLst>
            <a:ext uri="{FF2B5EF4-FFF2-40B4-BE49-F238E27FC236}">
              <a16:creationId xmlns:a16="http://schemas.microsoft.com/office/drawing/2014/main" id="{00000000-0008-0000-0C00-0000B65C0000}"/>
            </a:ext>
          </a:extLst>
        </xdr:cNvPr>
        <xdr:cNvSpPr>
          <a:spLocks noChangeShapeType="1"/>
        </xdr:cNvSpPr>
      </xdr:nvSpPr>
      <xdr:spPr bwMode="auto">
        <a:xfrm>
          <a:off x="2771775" y="37871400"/>
          <a:ext cx="2571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213</xdr:row>
      <xdr:rowOff>66675</xdr:rowOff>
    </xdr:from>
    <xdr:to>
      <xdr:col>4</xdr:col>
      <xdr:colOff>95250</xdr:colOff>
      <xdr:row>214</xdr:row>
      <xdr:rowOff>142875</xdr:rowOff>
    </xdr:to>
    <xdr:sp macro="" textlink="">
      <xdr:nvSpPr>
        <xdr:cNvPr id="23735" name="Line 183">
          <a:extLst>
            <a:ext uri="{FF2B5EF4-FFF2-40B4-BE49-F238E27FC236}">
              <a16:creationId xmlns:a16="http://schemas.microsoft.com/office/drawing/2014/main" id="{00000000-0008-0000-0C00-0000B75C0000}"/>
            </a:ext>
          </a:extLst>
        </xdr:cNvPr>
        <xdr:cNvSpPr>
          <a:spLocks noChangeShapeType="1"/>
        </xdr:cNvSpPr>
      </xdr:nvSpPr>
      <xdr:spPr bwMode="auto">
        <a:xfrm>
          <a:off x="4219575" y="37242750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213</xdr:row>
      <xdr:rowOff>66675</xdr:rowOff>
    </xdr:from>
    <xdr:to>
      <xdr:col>4</xdr:col>
      <xdr:colOff>0</xdr:colOff>
      <xdr:row>214</xdr:row>
      <xdr:rowOff>142875</xdr:rowOff>
    </xdr:to>
    <xdr:sp macro="" textlink="">
      <xdr:nvSpPr>
        <xdr:cNvPr id="23736" name="Line 184">
          <a:extLst>
            <a:ext uri="{FF2B5EF4-FFF2-40B4-BE49-F238E27FC236}">
              <a16:creationId xmlns:a16="http://schemas.microsoft.com/office/drawing/2014/main" id="{00000000-0008-0000-0C00-0000B85C0000}"/>
            </a:ext>
          </a:extLst>
        </xdr:cNvPr>
        <xdr:cNvSpPr>
          <a:spLocks noChangeShapeType="1"/>
        </xdr:cNvSpPr>
      </xdr:nvSpPr>
      <xdr:spPr bwMode="auto">
        <a:xfrm>
          <a:off x="4124325" y="37242750"/>
          <a:ext cx="0" cy="2381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213</xdr:row>
      <xdr:rowOff>190500</xdr:rowOff>
    </xdr:from>
    <xdr:to>
      <xdr:col>5</xdr:col>
      <xdr:colOff>542925</xdr:colOff>
      <xdr:row>214</xdr:row>
      <xdr:rowOff>0</xdr:rowOff>
    </xdr:to>
    <xdr:sp macro="" textlink="">
      <xdr:nvSpPr>
        <xdr:cNvPr id="23737" name="Line 185">
          <a:extLst>
            <a:ext uri="{FF2B5EF4-FFF2-40B4-BE49-F238E27FC236}">
              <a16:creationId xmlns:a16="http://schemas.microsoft.com/office/drawing/2014/main" id="{00000000-0008-0000-0C00-0000B95C0000}"/>
            </a:ext>
          </a:extLst>
        </xdr:cNvPr>
        <xdr:cNvSpPr>
          <a:spLocks noChangeShapeType="1"/>
        </xdr:cNvSpPr>
      </xdr:nvSpPr>
      <xdr:spPr bwMode="auto">
        <a:xfrm flipV="1">
          <a:off x="4248150" y="37338000"/>
          <a:ext cx="1181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214</xdr:row>
      <xdr:rowOff>0</xdr:rowOff>
    </xdr:from>
    <xdr:to>
      <xdr:col>3</xdr:col>
      <xdr:colOff>1362075</xdr:colOff>
      <xdr:row>214</xdr:row>
      <xdr:rowOff>9525</xdr:rowOff>
    </xdr:to>
    <xdr:sp macro="" textlink="">
      <xdr:nvSpPr>
        <xdr:cNvPr id="23738" name="Line 186">
          <a:extLst>
            <a:ext uri="{FF2B5EF4-FFF2-40B4-BE49-F238E27FC236}">
              <a16:creationId xmlns:a16="http://schemas.microsoft.com/office/drawing/2014/main" id="{00000000-0008-0000-0C00-0000BA5C0000}"/>
            </a:ext>
          </a:extLst>
        </xdr:cNvPr>
        <xdr:cNvSpPr>
          <a:spLocks noChangeShapeType="1"/>
        </xdr:cNvSpPr>
      </xdr:nvSpPr>
      <xdr:spPr bwMode="auto">
        <a:xfrm flipV="1">
          <a:off x="2781300" y="37338000"/>
          <a:ext cx="13335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214</xdr:row>
      <xdr:rowOff>0</xdr:rowOff>
    </xdr:from>
    <xdr:to>
      <xdr:col>5</xdr:col>
      <xdr:colOff>542925</xdr:colOff>
      <xdr:row>217</xdr:row>
      <xdr:rowOff>9525</xdr:rowOff>
    </xdr:to>
    <xdr:sp macro="" textlink="">
      <xdr:nvSpPr>
        <xdr:cNvPr id="23739" name="Line 187">
          <a:extLst>
            <a:ext uri="{FF2B5EF4-FFF2-40B4-BE49-F238E27FC236}">
              <a16:creationId xmlns:a16="http://schemas.microsoft.com/office/drawing/2014/main" id="{00000000-0008-0000-0C00-0000BB5C0000}"/>
            </a:ext>
          </a:extLst>
        </xdr:cNvPr>
        <xdr:cNvSpPr>
          <a:spLocks noChangeShapeType="1"/>
        </xdr:cNvSpPr>
      </xdr:nvSpPr>
      <xdr:spPr bwMode="auto">
        <a:xfrm>
          <a:off x="5419725" y="37338000"/>
          <a:ext cx="9525" cy="533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19050</xdr:colOff>
      <xdr:row>217</xdr:row>
      <xdr:rowOff>9525</xdr:rowOff>
    </xdr:to>
    <xdr:sp macro="" textlink="">
      <xdr:nvSpPr>
        <xdr:cNvPr id="23740" name="Line 188">
          <a:extLst>
            <a:ext uri="{FF2B5EF4-FFF2-40B4-BE49-F238E27FC236}">
              <a16:creationId xmlns:a16="http://schemas.microsoft.com/office/drawing/2014/main" id="{00000000-0008-0000-0C00-0000BC5C0000}"/>
            </a:ext>
          </a:extLst>
        </xdr:cNvPr>
        <xdr:cNvSpPr>
          <a:spLocks noChangeShapeType="1"/>
        </xdr:cNvSpPr>
      </xdr:nvSpPr>
      <xdr:spPr bwMode="auto">
        <a:xfrm>
          <a:off x="2771775" y="37357050"/>
          <a:ext cx="0" cy="514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217</xdr:row>
      <xdr:rowOff>0</xdr:rowOff>
    </xdr:from>
    <xdr:to>
      <xdr:col>5</xdr:col>
      <xdr:colOff>533400</xdr:colOff>
      <xdr:row>217</xdr:row>
      <xdr:rowOff>0</xdr:rowOff>
    </xdr:to>
    <xdr:sp macro="" textlink="">
      <xdr:nvSpPr>
        <xdr:cNvPr id="23741" name="Line 189">
          <a:extLst>
            <a:ext uri="{FF2B5EF4-FFF2-40B4-BE49-F238E27FC236}">
              <a16:creationId xmlns:a16="http://schemas.microsoft.com/office/drawing/2014/main" id="{00000000-0008-0000-0C00-0000BD5C0000}"/>
            </a:ext>
          </a:extLst>
        </xdr:cNvPr>
        <xdr:cNvSpPr>
          <a:spLocks noChangeShapeType="1"/>
        </xdr:cNvSpPr>
      </xdr:nvSpPr>
      <xdr:spPr bwMode="auto">
        <a:xfrm flipV="1">
          <a:off x="4543425" y="37861875"/>
          <a:ext cx="87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1247775</xdr:colOff>
      <xdr:row>217</xdr:row>
      <xdr:rowOff>133350</xdr:rowOff>
    </xdr:from>
    <xdr:to>
      <xdr:col>4</xdr:col>
      <xdr:colOff>400050</xdr:colOff>
      <xdr:row>217</xdr:row>
      <xdr:rowOff>133350</xdr:rowOff>
    </xdr:to>
    <xdr:sp macro="" textlink="">
      <xdr:nvSpPr>
        <xdr:cNvPr id="23742" name="Line 190">
          <a:extLst>
            <a:ext uri="{FF2B5EF4-FFF2-40B4-BE49-F238E27FC236}">
              <a16:creationId xmlns:a16="http://schemas.microsoft.com/office/drawing/2014/main" id="{00000000-0008-0000-0C00-0000BE5C0000}"/>
            </a:ext>
          </a:extLst>
        </xdr:cNvPr>
        <xdr:cNvSpPr>
          <a:spLocks noChangeShapeType="1"/>
        </xdr:cNvSpPr>
      </xdr:nvSpPr>
      <xdr:spPr bwMode="auto">
        <a:xfrm>
          <a:off x="4000500" y="37995225"/>
          <a:ext cx="523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210</xdr:row>
      <xdr:rowOff>114300</xdr:rowOff>
    </xdr:from>
    <xdr:to>
      <xdr:col>3</xdr:col>
      <xdr:colOff>838200</xdr:colOff>
      <xdr:row>211</xdr:row>
      <xdr:rowOff>76200</xdr:rowOff>
    </xdr:to>
    <xdr:sp macro="" textlink="">
      <xdr:nvSpPr>
        <xdr:cNvPr id="23743" name="Rectangle 191">
          <a:extLst>
            <a:ext uri="{FF2B5EF4-FFF2-40B4-BE49-F238E27FC236}">
              <a16:creationId xmlns:a16="http://schemas.microsoft.com/office/drawing/2014/main" id="{00000000-0008-0000-0C00-0000BF5C0000}"/>
            </a:ext>
          </a:extLst>
        </xdr:cNvPr>
        <xdr:cNvSpPr>
          <a:spLocks noChangeArrowheads="1"/>
        </xdr:cNvSpPr>
      </xdr:nvSpPr>
      <xdr:spPr bwMode="auto">
        <a:xfrm>
          <a:off x="3057525" y="36766500"/>
          <a:ext cx="5334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857250</xdr:colOff>
      <xdr:row>211</xdr:row>
      <xdr:rowOff>0</xdr:rowOff>
    </xdr:from>
    <xdr:to>
      <xdr:col>3</xdr:col>
      <xdr:colOff>1285875</xdr:colOff>
      <xdr:row>211</xdr:row>
      <xdr:rowOff>0</xdr:rowOff>
    </xdr:to>
    <xdr:sp macro="" textlink="">
      <xdr:nvSpPr>
        <xdr:cNvPr id="23744" name="Line 192">
          <a:extLst>
            <a:ext uri="{FF2B5EF4-FFF2-40B4-BE49-F238E27FC236}">
              <a16:creationId xmlns:a16="http://schemas.microsoft.com/office/drawing/2014/main" id="{00000000-0008-0000-0C00-0000C05C0000}"/>
            </a:ext>
          </a:extLst>
        </xdr:cNvPr>
        <xdr:cNvSpPr>
          <a:spLocks noChangeShapeType="1"/>
        </xdr:cNvSpPr>
      </xdr:nvSpPr>
      <xdr:spPr bwMode="auto">
        <a:xfrm>
          <a:off x="3609975" y="3681412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210</xdr:row>
      <xdr:rowOff>180975</xdr:rowOff>
    </xdr:from>
    <xdr:to>
      <xdr:col>5</xdr:col>
      <xdr:colOff>514350</xdr:colOff>
      <xdr:row>210</xdr:row>
      <xdr:rowOff>190500</xdr:rowOff>
    </xdr:to>
    <xdr:sp macro="" textlink="">
      <xdr:nvSpPr>
        <xdr:cNvPr id="23745" name="Line 193">
          <a:extLst>
            <a:ext uri="{FF2B5EF4-FFF2-40B4-BE49-F238E27FC236}">
              <a16:creationId xmlns:a16="http://schemas.microsoft.com/office/drawing/2014/main" id="{00000000-0008-0000-0C00-0000C15C0000}"/>
            </a:ext>
          </a:extLst>
        </xdr:cNvPr>
        <xdr:cNvSpPr>
          <a:spLocks noChangeShapeType="1"/>
        </xdr:cNvSpPr>
      </xdr:nvSpPr>
      <xdr:spPr bwMode="auto">
        <a:xfrm>
          <a:off x="4648200" y="36814125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210</xdr:row>
      <xdr:rowOff>171450</xdr:rowOff>
    </xdr:from>
    <xdr:to>
      <xdr:col>5</xdr:col>
      <xdr:colOff>533400</xdr:colOff>
      <xdr:row>214</xdr:row>
      <xdr:rowOff>0</xdr:rowOff>
    </xdr:to>
    <xdr:sp macro="" textlink="">
      <xdr:nvSpPr>
        <xdr:cNvPr id="23746" name="Line 194">
          <a:extLst>
            <a:ext uri="{FF2B5EF4-FFF2-40B4-BE49-F238E27FC236}">
              <a16:creationId xmlns:a16="http://schemas.microsoft.com/office/drawing/2014/main" id="{00000000-0008-0000-0C00-0000C25C0000}"/>
            </a:ext>
          </a:extLst>
        </xdr:cNvPr>
        <xdr:cNvSpPr>
          <a:spLocks noChangeShapeType="1"/>
        </xdr:cNvSpPr>
      </xdr:nvSpPr>
      <xdr:spPr bwMode="auto">
        <a:xfrm>
          <a:off x="5410200" y="36814125"/>
          <a:ext cx="9525" cy="523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210</xdr:row>
      <xdr:rowOff>190500</xdr:rowOff>
    </xdr:from>
    <xdr:to>
      <xdr:col>3</xdr:col>
      <xdr:colOff>9525</xdr:colOff>
      <xdr:row>214</xdr:row>
      <xdr:rowOff>19050</xdr:rowOff>
    </xdr:to>
    <xdr:sp macro="" textlink="">
      <xdr:nvSpPr>
        <xdr:cNvPr id="23747" name="Line 195">
          <a:extLst>
            <a:ext uri="{FF2B5EF4-FFF2-40B4-BE49-F238E27FC236}">
              <a16:creationId xmlns:a16="http://schemas.microsoft.com/office/drawing/2014/main" id="{00000000-0008-0000-0C00-0000C35C0000}"/>
            </a:ext>
          </a:extLst>
        </xdr:cNvPr>
        <xdr:cNvSpPr>
          <a:spLocks noChangeShapeType="1"/>
        </xdr:cNvSpPr>
      </xdr:nvSpPr>
      <xdr:spPr bwMode="auto">
        <a:xfrm>
          <a:off x="2752725" y="36814125"/>
          <a:ext cx="9525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210</xdr:row>
      <xdr:rowOff>190500</xdr:rowOff>
    </xdr:from>
    <xdr:to>
      <xdr:col>3</xdr:col>
      <xdr:colOff>295275</xdr:colOff>
      <xdr:row>211</xdr:row>
      <xdr:rowOff>0</xdr:rowOff>
    </xdr:to>
    <xdr:sp macro="" textlink="">
      <xdr:nvSpPr>
        <xdr:cNvPr id="23748" name="Line 196">
          <a:extLst>
            <a:ext uri="{FF2B5EF4-FFF2-40B4-BE49-F238E27FC236}">
              <a16:creationId xmlns:a16="http://schemas.microsoft.com/office/drawing/2014/main" id="{00000000-0008-0000-0C00-0000C45C0000}"/>
            </a:ext>
          </a:extLst>
        </xdr:cNvPr>
        <xdr:cNvSpPr>
          <a:spLocks noChangeShapeType="1"/>
        </xdr:cNvSpPr>
      </xdr:nvSpPr>
      <xdr:spPr bwMode="auto">
        <a:xfrm flipV="1">
          <a:off x="2743200" y="36814125"/>
          <a:ext cx="304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210</xdr:row>
      <xdr:rowOff>66675</xdr:rowOff>
    </xdr:from>
    <xdr:to>
      <xdr:col>4</xdr:col>
      <xdr:colOff>219075</xdr:colOff>
      <xdr:row>210</xdr:row>
      <xdr:rowOff>171450</xdr:rowOff>
    </xdr:to>
    <xdr:sp macro="" textlink="">
      <xdr:nvSpPr>
        <xdr:cNvPr id="23749" name="Line 197">
          <a:extLst>
            <a:ext uri="{FF2B5EF4-FFF2-40B4-BE49-F238E27FC236}">
              <a16:creationId xmlns:a16="http://schemas.microsoft.com/office/drawing/2014/main" id="{00000000-0008-0000-0C00-0000C55C0000}"/>
            </a:ext>
          </a:extLst>
        </xdr:cNvPr>
        <xdr:cNvSpPr>
          <a:spLocks noChangeShapeType="1"/>
        </xdr:cNvSpPr>
      </xdr:nvSpPr>
      <xdr:spPr bwMode="auto">
        <a:xfrm flipV="1">
          <a:off x="4152900" y="36718875"/>
          <a:ext cx="190500" cy="9525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210</xdr:row>
      <xdr:rowOff>161925</xdr:rowOff>
    </xdr:from>
    <xdr:to>
      <xdr:col>4</xdr:col>
      <xdr:colOff>447675</xdr:colOff>
      <xdr:row>211</xdr:row>
      <xdr:rowOff>123825</xdr:rowOff>
    </xdr:to>
    <xdr:sp macro="" textlink="">
      <xdr:nvSpPr>
        <xdr:cNvPr id="23750" name="Line 198">
          <a:extLst>
            <a:ext uri="{FF2B5EF4-FFF2-40B4-BE49-F238E27FC236}">
              <a16:creationId xmlns:a16="http://schemas.microsoft.com/office/drawing/2014/main" id="{00000000-0008-0000-0C00-0000C65C0000}"/>
            </a:ext>
          </a:extLst>
        </xdr:cNvPr>
        <xdr:cNvSpPr>
          <a:spLocks noChangeShapeType="1"/>
        </xdr:cNvSpPr>
      </xdr:nvSpPr>
      <xdr:spPr bwMode="auto">
        <a:xfrm flipV="1">
          <a:off x="4324350" y="36814125"/>
          <a:ext cx="247650" cy="1238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210</xdr:row>
      <xdr:rowOff>66675</xdr:rowOff>
    </xdr:from>
    <xdr:to>
      <xdr:col>4</xdr:col>
      <xdr:colOff>200025</xdr:colOff>
      <xdr:row>211</xdr:row>
      <xdr:rowOff>142875</xdr:rowOff>
    </xdr:to>
    <xdr:sp macro="" textlink="">
      <xdr:nvSpPr>
        <xdr:cNvPr id="23751" name="Line 199">
          <a:extLst>
            <a:ext uri="{FF2B5EF4-FFF2-40B4-BE49-F238E27FC236}">
              <a16:creationId xmlns:a16="http://schemas.microsoft.com/office/drawing/2014/main" id="{00000000-0008-0000-0C00-0000C75C0000}"/>
            </a:ext>
          </a:extLst>
        </xdr:cNvPr>
        <xdr:cNvSpPr>
          <a:spLocks noChangeShapeType="1"/>
        </xdr:cNvSpPr>
      </xdr:nvSpPr>
      <xdr:spPr bwMode="auto">
        <a:xfrm flipH="1" flipV="1">
          <a:off x="4324350" y="36718875"/>
          <a:ext cx="0" cy="238125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523875</xdr:colOff>
      <xdr:row>217</xdr:row>
      <xdr:rowOff>9525</xdr:rowOff>
    </xdr:from>
    <xdr:to>
      <xdr:col>6</xdr:col>
      <xdr:colOff>28575</xdr:colOff>
      <xdr:row>218</xdr:row>
      <xdr:rowOff>76200</xdr:rowOff>
    </xdr:to>
    <xdr:sp macro="" textlink="">
      <xdr:nvSpPr>
        <xdr:cNvPr id="23752" name="Line 200">
          <a:extLst>
            <a:ext uri="{FF2B5EF4-FFF2-40B4-BE49-F238E27FC236}">
              <a16:creationId xmlns:a16="http://schemas.microsoft.com/office/drawing/2014/main" id="{00000000-0008-0000-0C00-0000C85C0000}"/>
            </a:ext>
          </a:extLst>
        </xdr:cNvPr>
        <xdr:cNvSpPr>
          <a:spLocks noChangeShapeType="1"/>
        </xdr:cNvSpPr>
      </xdr:nvSpPr>
      <xdr:spPr bwMode="auto">
        <a:xfrm flipV="1">
          <a:off x="5410200" y="37871400"/>
          <a:ext cx="266700" cy="22860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217</xdr:row>
      <xdr:rowOff>95250</xdr:rowOff>
    </xdr:from>
    <xdr:to>
      <xdr:col>5</xdr:col>
      <xdr:colOff>704850</xdr:colOff>
      <xdr:row>219</xdr:row>
      <xdr:rowOff>0</xdr:rowOff>
    </xdr:to>
    <xdr:sp macro="" textlink="">
      <xdr:nvSpPr>
        <xdr:cNvPr id="23753" name="Freeform 201">
          <a:extLst>
            <a:ext uri="{FF2B5EF4-FFF2-40B4-BE49-F238E27FC236}">
              <a16:creationId xmlns:a16="http://schemas.microsoft.com/office/drawing/2014/main" id="{00000000-0008-0000-0C00-0000C95C0000}"/>
            </a:ext>
          </a:extLst>
        </xdr:cNvPr>
        <xdr:cNvSpPr>
          <a:spLocks/>
        </xdr:cNvSpPr>
      </xdr:nvSpPr>
      <xdr:spPr bwMode="auto">
        <a:xfrm>
          <a:off x="5381625" y="37957125"/>
          <a:ext cx="209550" cy="228600"/>
        </a:xfrm>
        <a:custGeom>
          <a:avLst/>
          <a:gdLst>
            <a:gd name="T0" fmla="*/ 21 w 22"/>
            <a:gd name="T1" fmla="*/ 20 h 20"/>
            <a:gd name="T2" fmla="*/ 20 w 22"/>
            <a:gd name="T3" fmla="*/ 12 h 20"/>
            <a:gd name="T4" fmla="*/ 12 w 22"/>
            <a:gd name="T5" fmla="*/ 2 h 20"/>
            <a:gd name="T6" fmla="*/ 0 w 22"/>
            <a:gd name="T7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" h="20">
              <a:moveTo>
                <a:pt x="21" y="20"/>
              </a:moveTo>
              <a:cubicBezTo>
                <a:pt x="21" y="17"/>
                <a:pt x="22" y="15"/>
                <a:pt x="20" y="12"/>
              </a:cubicBezTo>
              <a:cubicBezTo>
                <a:pt x="18" y="9"/>
                <a:pt x="15" y="4"/>
                <a:pt x="12" y="2"/>
              </a:cubicBezTo>
              <a:cubicBezTo>
                <a:pt x="9" y="0"/>
                <a:pt x="4" y="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352425</xdr:colOff>
      <xdr:row>217</xdr:row>
      <xdr:rowOff>85725</xdr:rowOff>
    </xdr:from>
    <xdr:to>
      <xdr:col>5</xdr:col>
      <xdr:colOff>495300</xdr:colOff>
      <xdr:row>217</xdr:row>
      <xdr:rowOff>95250</xdr:rowOff>
    </xdr:to>
    <xdr:sp macro="" textlink="">
      <xdr:nvSpPr>
        <xdr:cNvPr id="23754" name="Line 202">
          <a:extLst>
            <a:ext uri="{FF2B5EF4-FFF2-40B4-BE49-F238E27FC236}">
              <a16:creationId xmlns:a16="http://schemas.microsoft.com/office/drawing/2014/main" id="{00000000-0008-0000-0C00-0000CA5C0000}"/>
            </a:ext>
          </a:extLst>
        </xdr:cNvPr>
        <xdr:cNvSpPr>
          <a:spLocks noChangeShapeType="1"/>
        </xdr:cNvSpPr>
      </xdr:nvSpPr>
      <xdr:spPr bwMode="auto">
        <a:xfrm flipH="1" flipV="1">
          <a:off x="5238750" y="37947600"/>
          <a:ext cx="142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225</xdr:row>
      <xdr:rowOff>19050</xdr:rowOff>
    </xdr:from>
    <xdr:to>
      <xdr:col>6</xdr:col>
      <xdr:colOff>542925</xdr:colOff>
      <xdr:row>254</xdr:row>
      <xdr:rowOff>66675</xdr:rowOff>
    </xdr:to>
    <xdr:graphicFrame macro="">
      <xdr:nvGraphicFramePr>
        <xdr:cNvPr id="23755" name="Diagramm 203">
          <a:extLst>
            <a:ext uri="{FF2B5EF4-FFF2-40B4-BE49-F238E27FC236}">
              <a16:creationId xmlns:a16="http://schemas.microsoft.com/office/drawing/2014/main" id="{00000000-0008-0000-0C00-0000CB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FEMM_data/tutorial-magnetic.pdf" TargetMode="External"/><Relationship Id="rId2" Type="http://schemas.openxmlformats.org/officeDocument/2006/relationships/hyperlink" Target="http://www.arcsandsparks.com/reprintpage.html" TargetMode="External"/><Relationship Id="rId1" Type="http://schemas.openxmlformats.org/officeDocument/2006/relationships/hyperlink" Target="http://www.archive.org/details/inductioncoil032158mb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FEMM_data/tutorial-magnetic.pdf" TargetMode="External"/><Relationship Id="rId4" Type="http://schemas.openxmlformats.org/officeDocument/2006/relationships/hyperlink" Target="../../../../FEMM_data/tutorial-magnetic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A17" workbookViewId="0">
      <selection activeCell="A35" sqref="A35"/>
    </sheetView>
  </sheetViews>
  <sheetFormatPr baseColWidth="10" defaultRowHeight="12.75" x14ac:dyDescent="0.2"/>
  <cols>
    <col min="1" max="1" width="11.42578125" style="2"/>
    <col min="2" max="2" width="12.5703125" customWidth="1"/>
  </cols>
  <sheetData>
    <row r="1" spans="1:7" ht="23.25" x14ac:dyDescent="0.35">
      <c r="A1" s="370" t="s">
        <v>1276</v>
      </c>
    </row>
    <row r="3" spans="1:7" x14ac:dyDescent="0.2">
      <c r="A3" s="369" t="s">
        <v>1277</v>
      </c>
    </row>
    <row r="4" spans="1:7" x14ac:dyDescent="0.2">
      <c r="A4" s="369" t="s">
        <v>1278</v>
      </c>
    </row>
    <row r="5" spans="1:7" x14ac:dyDescent="0.2">
      <c r="A5" s="369" t="s">
        <v>1279</v>
      </c>
    </row>
    <row r="6" spans="1:7" x14ac:dyDescent="0.2">
      <c r="A6" s="369" t="s">
        <v>1306</v>
      </c>
    </row>
    <row r="7" spans="1:7" x14ac:dyDescent="0.2">
      <c r="A7" s="369" t="s">
        <v>1280</v>
      </c>
    </row>
    <row r="8" spans="1:7" x14ac:dyDescent="0.2">
      <c r="A8" s="369" t="s">
        <v>1281</v>
      </c>
    </row>
    <row r="9" spans="1:7" x14ac:dyDescent="0.2">
      <c r="A9" s="371" t="s">
        <v>1282</v>
      </c>
      <c r="D9" s="113" t="s">
        <v>1283</v>
      </c>
    </row>
    <row r="10" spans="1:7" x14ac:dyDescent="0.2">
      <c r="A10" s="369" t="s">
        <v>1284</v>
      </c>
      <c r="G10" s="368"/>
    </row>
    <row r="11" spans="1:7" x14ac:dyDescent="0.2">
      <c r="A11" s="372" t="s">
        <v>1285</v>
      </c>
    </row>
    <row r="12" spans="1:7" x14ac:dyDescent="0.2">
      <c r="A12" s="372" t="s">
        <v>1287</v>
      </c>
    </row>
    <row r="14" spans="1:7" x14ac:dyDescent="0.2">
      <c r="A14" s="113" t="s">
        <v>1297</v>
      </c>
    </row>
    <row r="15" spans="1:7" x14ac:dyDescent="0.2">
      <c r="A15" s="113"/>
    </row>
    <row r="16" spans="1:7" x14ac:dyDescent="0.2">
      <c r="A16" s="369" t="s">
        <v>1307</v>
      </c>
    </row>
    <row r="17" spans="1:9" x14ac:dyDescent="0.2">
      <c r="A17" s="369" t="s">
        <v>1308</v>
      </c>
    </row>
    <row r="18" spans="1:9" x14ac:dyDescent="0.2">
      <c r="A18" s="369" t="s">
        <v>1286</v>
      </c>
    </row>
    <row r="19" spans="1:9" x14ac:dyDescent="0.2">
      <c r="A19" s="369" t="s">
        <v>1288</v>
      </c>
    </row>
    <row r="20" spans="1:9" x14ac:dyDescent="0.2">
      <c r="A20" s="369" t="s">
        <v>1289</v>
      </c>
    </row>
    <row r="21" spans="1:9" x14ac:dyDescent="0.2">
      <c r="A21" s="369" t="s">
        <v>1299</v>
      </c>
    </row>
    <row r="22" spans="1:9" x14ac:dyDescent="0.2">
      <c r="A22" s="41"/>
    </row>
    <row r="23" spans="1:9" x14ac:dyDescent="0.2">
      <c r="A23" s="369" t="s">
        <v>1292</v>
      </c>
    </row>
    <row r="24" spans="1:9" x14ac:dyDescent="0.2">
      <c r="A24" s="372" t="s">
        <v>1293</v>
      </c>
      <c r="E24" s="113" t="s">
        <v>1295</v>
      </c>
    </row>
    <row r="25" spans="1:9" x14ac:dyDescent="0.2">
      <c r="A25" s="371" t="s">
        <v>1294</v>
      </c>
      <c r="E25" s="113" t="s">
        <v>1296</v>
      </c>
    </row>
    <row r="26" spans="1:9" x14ac:dyDescent="0.2">
      <c r="A26" s="41"/>
    </row>
    <row r="27" spans="1:9" x14ac:dyDescent="0.2">
      <c r="A27" s="369" t="s">
        <v>1300</v>
      </c>
    </row>
    <row r="28" spans="1:9" x14ac:dyDescent="0.2">
      <c r="A28" s="369" t="s">
        <v>1301</v>
      </c>
    </row>
    <row r="29" spans="1:9" x14ac:dyDescent="0.2">
      <c r="A29" s="369" t="s">
        <v>1305</v>
      </c>
      <c r="F29" s="373" t="s">
        <v>1302</v>
      </c>
      <c r="G29" s="113" t="s">
        <v>1304</v>
      </c>
      <c r="H29" s="374" t="s">
        <v>1303</v>
      </c>
      <c r="I29" s="113" t="s">
        <v>1309</v>
      </c>
    </row>
    <row r="30" spans="1:9" x14ac:dyDescent="0.2">
      <c r="A30" s="369" t="s">
        <v>1310</v>
      </c>
    </row>
    <row r="31" spans="1:9" x14ac:dyDescent="0.2">
      <c r="A31" s="369"/>
    </row>
    <row r="32" spans="1:9" x14ac:dyDescent="0.2">
      <c r="A32" s="369" t="s">
        <v>1314</v>
      </c>
    </row>
    <row r="33" spans="1:3" x14ac:dyDescent="0.2">
      <c r="A33" s="369" t="s">
        <v>1315</v>
      </c>
    </row>
    <row r="37" spans="1:3" x14ac:dyDescent="0.2">
      <c r="A37" s="275" t="s">
        <v>1264</v>
      </c>
      <c r="C37" s="237" t="s">
        <v>1298</v>
      </c>
    </row>
    <row r="38" spans="1:3" x14ac:dyDescent="0.2">
      <c r="A38" s="2" t="s">
        <v>1265</v>
      </c>
    </row>
    <row r="39" spans="1:3" x14ac:dyDescent="0.2">
      <c r="A39" s="2" t="s">
        <v>1266</v>
      </c>
    </row>
    <row r="41" spans="1:3" x14ac:dyDescent="0.2">
      <c r="A41" s="368" t="s">
        <v>1268</v>
      </c>
      <c r="B41" s="113" t="s">
        <v>1311</v>
      </c>
      <c r="C41" s="286" t="s">
        <v>1312</v>
      </c>
    </row>
    <row r="43" spans="1:3" x14ac:dyDescent="0.2">
      <c r="B43" s="378"/>
      <c r="C43" s="286" t="s">
        <v>1274</v>
      </c>
    </row>
    <row r="44" spans="1:3" x14ac:dyDescent="0.2">
      <c r="A44" s="2" t="s">
        <v>1267</v>
      </c>
      <c r="B44" s="113" t="s">
        <v>1238</v>
      </c>
      <c r="C44" s="113" t="s">
        <v>1257</v>
      </c>
    </row>
    <row r="45" spans="1:3" x14ac:dyDescent="0.2">
      <c r="A45" s="2" t="s">
        <v>1268</v>
      </c>
      <c r="B45" s="113" t="s">
        <v>1239</v>
      </c>
      <c r="C45" s="113" t="s">
        <v>1256</v>
      </c>
    </row>
    <row r="46" spans="1:3" x14ac:dyDescent="0.2">
      <c r="A46" s="2" t="s">
        <v>1196</v>
      </c>
      <c r="B46" s="113" t="s">
        <v>1240</v>
      </c>
      <c r="C46" s="113" t="s">
        <v>1258</v>
      </c>
    </row>
    <row r="47" spans="1:3" x14ac:dyDescent="0.2">
      <c r="A47" s="2" t="s">
        <v>1196</v>
      </c>
      <c r="B47" s="113" t="s">
        <v>1241</v>
      </c>
      <c r="C47" s="375" t="s">
        <v>1316</v>
      </c>
    </row>
    <row r="48" spans="1:3" x14ac:dyDescent="0.2">
      <c r="A48" s="2" t="s">
        <v>1267</v>
      </c>
      <c r="B48" s="113" t="s">
        <v>1242</v>
      </c>
      <c r="C48" s="113" t="s">
        <v>1259</v>
      </c>
    </row>
    <row r="49" spans="1:3" x14ac:dyDescent="0.2">
      <c r="B49" s="113"/>
      <c r="C49" s="113"/>
    </row>
    <row r="51" spans="1:3" x14ac:dyDescent="0.2">
      <c r="B51" s="379"/>
      <c r="C51" s="286" t="s">
        <v>1269</v>
      </c>
    </row>
    <row r="52" spans="1:3" x14ac:dyDescent="0.2">
      <c r="A52" s="2" t="s">
        <v>1196</v>
      </c>
      <c r="B52" s="113" t="s">
        <v>1243</v>
      </c>
      <c r="C52" s="113" t="s">
        <v>824</v>
      </c>
    </row>
    <row r="53" spans="1:3" x14ac:dyDescent="0.2">
      <c r="A53" s="2" t="s">
        <v>1196</v>
      </c>
      <c r="B53" s="113" t="s">
        <v>1244</v>
      </c>
      <c r="C53" s="113" t="s">
        <v>1260</v>
      </c>
    </row>
    <row r="54" spans="1:3" x14ac:dyDescent="0.2">
      <c r="A54" s="2" t="s">
        <v>1196</v>
      </c>
      <c r="B54" s="113" t="s">
        <v>1245</v>
      </c>
      <c r="C54" s="375" t="s">
        <v>1316</v>
      </c>
    </row>
    <row r="55" spans="1:3" x14ac:dyDescent="0.2">
      <c r="A55" s="2" t="s">
        <v>1196</v>
      </c>
      <c r="B55" s="113" t="s">
        <v>1246</v>
      </c>
    </row>
    <row r="58" spans="1:3" x14ac:dyDescent="0.2">
      <c r="B58" s="380"/>
      <c r="C58" s="286" t="s">
        <v>1270</v>
      </c>
    </row>
    <row r="59" spans="1:3" x14ac:dyDescent="0.2">
      <c r="A59" s="2" t="s">
        <v>1268</v>
      </c>
      <c r="B59" s="113" t="s">
        <v>1247</v>
      </c>
      <c r="C59" s="113" t="s">
        <v>824</v>
      </c>
    </row>
    <row r="60" spans="1:3" x14ac:dyDescent="0.2">
      <c r="A60" s="2" t="s">
        <v>1196</v>
      </c>
      <c r="B60" s="113" t="s">
        <v>1248</v>
      </c>
      <c r="C60" s="113" t="s">
        <v>1260</v>
      </c>
    </row>
    <row r="61" spans="1:3" x14ac:dyDescent="0.2">
      <c r="A61" s="2" t="s">
        <v>1196</v>
      </c>
      <c r="B61" s="113" t="s">
        <v>1249</v>
      </c>
      <c r="C61" s="375" t="s">
        <v>1316</v>
      </c>
    </row>
    <row r="64" spans="1:3" x14ac:dyDescent="0.2">
      <c r="A64" s="2" t="s">
        <v>1196</v>
      </c>
      <c r="B64" s="113" t="s">
        <v>1251</v>
      </c>
      <c r="C64" s="286" t="s">
        <v>1262</v>
      </c>
    </row>
    <row r="65" spans="1:3" x14ac:dyDescent="0.2">
      <c r="A65" s="2" t="s">
        <v>1196</v>
      </c>
      <c r="B65" s="113" t="s">
        <v>409</v>
      </c>
      <c r="C65" s="286" t="s">
        <v>1261</v>
      </c>
    </row>
    <row r="67" spans="1:3" x14ac:dyDescent="0.2">
      <c r="A67" s="2" t="s">
        <v>1268</v>
      </c>
      <c r="B67" s="113" t="s">
        <v>1250</v>
      </c>
      <c r="C67" s="113" t="s">
        <v>1263</v>
      </c>
    </row>
    <row r="69" spans="1:3" x14ac:dyDescent="0.2">
      <c r="B69" s="381"/>
      <c r="C69" s="286" t="s">
        <v>1271</v>
      </c>
    </row>
    <row r="70" spans="1:3" x14ac:dyDescent="0.2">
      <c r="A70" s="2" t="s">
        <v>1268</v>
      </c>
      <c r="B70" s="113" t="s">
        <v>1252</v>
      </c>
      <c r="C70" s="113" t="s">
        <v>1272</v>
      </c>
    </row>
    <row r="73" spans="1:3" x14ac:dyDescent="0.2">
      <c r="B73" s="382"/>
      <c r="C73" s="286" t="s">
        <v>1273</v>
      </c>
    </row>
    <row r="74" spans="1:3" x14ac:dyDescent="0.2">
      <c r="A74" s="2" t="s">
        <v>1268</v>
      </c>
      <c r="B74" s="113" t="s">
        <v>1253</v>
      </c>
      <c r="C74" s="113" t="s">
        <v>824</v>
      </c>
    </row>
    <row r="76" spans="1:3" x14ac:dyDescent="0.2">
      <c r="A76" s="2" t="s">
        <v>1268</v>
      </c>
      <c r="B76" s="113" t="s">
        <v>1254</v>
      </c>
      <c r="C76" s="113" t="s">
        <v>1275</v>
      </c>
    </row>
    <row r="77" spans="1:3" x14ac:dyDescent="0.2">
      <c r="A77" s="2" t="s">
        <v>1268</v>
      </c>
      <c r="B77" s="113" t="s">
        <v>1005</v>
      </c>
      <c r="C77" s="113" t="s">
        <v>1290</v>
      </c>
    </row>
    <row r="78" spans="1:3" x14ac:dyDescent="0.2">
      <c r="A78" s="2" t="s">
        <v>1268</v>
      </c>
      <c r="B78" s="113" t="s">
        <v>1255</v>
      </c>
      <c r="C78" s="113" t="s">
        <v>1291</v>
      </c>
    </row>
    <row r="80" spans="1:3" x14ac:dyDescent="0.2">
      <c r="A80" s="368" t="s">
        <v>1313</v>
      </c>
      <c r="B80" s="2">
        <f>COUNT(B41:B78)+COUNTA(B41:B78)</f>
        <v>21</v>
      </c>
    </row>
  </sheetData>
  <hyperlinks>
    <hyperlink ref="A25" r:id="rId1" xr:uid="{00000000-0004-0000-0000-000000000000}"/>
    <hyperlink ref="A24" r:id="rId2" location="HVPA" display="http://www.arcsandsparks.com/reprintpage.html - HVPA" xr:uid="{00000000-0004-0000-0000-000001000000}"/>
    <hyperlink ref="A12" r:id="rId3" xr:uid="{00000000-0004-0000-0000-000002000000}"/>
    <hyperlink ref="A9" r:id="rId4" xr:uid="{00000000-0004-0000-0000-000003000000}"/>
    <hyperlink ref="A11" r:id="rId5" xr:uid="{00000000-0004-0000-0000-000004000000}"/>
  </hyperlinks>
  <pageMargins left="0.7" right="0.7" top="0.78740157499999996" bottom="0.78740157499999996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M40"/>
  <sheetViews>
    <sheetView workbookViewId="0">
      <selection activeCell="G24" sqref="G24"/>
    </sheetView>
  </sheetViews>
  <sheetFormatPr baseColWidth="10" defaultColWidth="9.140625" defaultRowHeight="12.75" x14ac:dyDescent="0.2"/>
  <sheetData>
    <row r="1" spans="1:13" ht="23.25" x14ac:dyDescent="0.35">
      <c r="A1" s="67" t="s">
        <v>1021</v>
      </c>
      <c r="B1" s="68"/>
      <c r="C1" s="69" t="s">
        <v>231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3.25" x14ac:dyDescent="0.35">
      <c r="A2" s="70"/>
      <c r="B2" s="18"/>
      <c r="C2" s="71"/>
      <c r="D2" s="18"/>
    </row>
    <row r="3" spans="1:13" ht="23.25" x14ac:dyDescent="0.35">
      <c r="A3" s="1" t="s">
        <v>1087</v>
      </c>
    </row>
    <row r="5" spans="1:13" x14ac:dyDescent="0.2">
      <c r="A5" t="s">
        <v>1022</v>
      </c>
      <c r="C5" s="72" t="s">
        <v>1093</v>
      </c>
      <c r="F5" s="33" t="s">
        <v>1024</v>
      </c>
      <c r="G5" s="73" t="s">
        <v>1095</v>
      </c>
    </row>
    <row r="6" spans="1:13" x14ac:dyDescent="0.2">
      <c r="B6" s="33" t="s">
        <v>1026</v>
      </c>
      <c r="C6" s="74" t="s">
        <v>1094</v>
      </c>
      <c r="F6" s="33" t="s">
        <v>1028</v>
      </c>
      <c r="G6" s="75" t="s">
        <v>1123</v>
      </c>
      <c r="H6" s="76"/>
      <c r="I6" s="76"/>
      <c r="J6" s="77"/>
      <c r="K6" s="78"/>
      <c r="L6" s="79"/>
    </row>
    <row r="8" spans="1:13" x14ac:dyDescent="0.2">
      <c r="C8" s="3" t="s">
        <v>1029</v>
      </c>
      <c r="H8" s="80" t="s">
        <v>1030</v>
      </c>
      <c r="I8" s="41"/>
      <c r="L8" s="3" t="s">
        <v>1031</v>
      </c>
    </row>
    <row r="9" spans="1:13" x14ac:dyDescent="0.2">
      <c r="C9" s="33" t="s">
        <v>1032</v>
      </c>
      <c r="D9">
        <v>2.54</v>
      </c>
      <c r="E9" t="s">
        <v>834</v>
      </c>
      <c r="F9" t="s">
        <v>1033</v>
      </c>
      <c r="G9" t="s">
        <v>1034</v>
      </c>
      <c r="H9">
        <v>2.8570000000000002E-2</v>
      </c>
      <c r="I9" t="s">
        <v>1035</v>
      </c>
      <c r="K9" t="s">
        <v>1044</v>
      </c>
      <c r="L9" s="18">
        <v>2.702</v>
      </c>
      <c r="M9" s="41" t="s">
        <v>1037</v>
      </c>
    </row>
    <row r="10" spans="1:13" x14ac:dyDescent="0.2">
      <c r="C10" s="33" t="s">
        <v>1038</v>
      </c>
      <c r="D10">
        <v>0.30480000000000002</v>
      </c>
      <c r="E10" t="s">
        <v>980</v>
      </c>
      <c r="F10" t="s">
        <v>1039</v>
      </c>
      <c r="G10" s="33" t="s">
        <v>1040</v>
      </c>
      <c r="H10" s="18">
        <v>1.7860000000000001E-2</v>
      </c>
      <c r="I10" t="s">
        <v>1035</v>
      </c>
      <c r="K10" t="s">
        <v>1046</v>
      </c>
      <c r="L10" s="18">
        <v>8.93</v>
      </c>
      <c r="M10" s="41" t="s">
        <v>1037</v>
      </c>
    </row>
    <row r="11" spans="1:13" x14ac:dyDescent="0.2">
      <c r="E11" s="33"/>
      <c r="F11" s="41" t="s">
        <v>1042</v>
      </c>
      <c r="G11" t="s">
        <v>1043</v>
      </c>
      <c r="H11" s="18">
        <v>5.5E-2</v>
      </c>
      <c r="I11" t="s">
        <v>1035</v>
      </c>
      <c r="K11" t="s">
        <v>1041</v>
      </c>
      <c r="L11" s="18">
        <v>1.4</v>
      </c>
      <c r="M11" s="41" t="s">
        <v>1037</v>
      </c>
    </row>
    <row r="12" spans="1:13" x14ac:dyDescent="0.2">
      <c r="E12" s="33"/>
      <c r="F12" t="s">
        <v>1045</v>
      </c>
      <c r="G12" s="33">
        <v>7.0000000000000007E-2</v>
      </c>
      <c r="H12" s="18">
        <v>0.09</v>
      </c>
      <c r="I12" t="s">
        <v>1035</v>
      </c>
      <c r="K12" s="81" t="s">
        <v>1036</v>
      </c>
      <c r="L12" s="18">
        <v>1.18</v>
      </c>
      <c r="M12" s="41" t="s">
        <v>1037</v>
      </c>
    </row>
    <row r="13" spans="1:13" x14ac:dyDescent="0.2">
      <c r="E13" s="33"/>
      <c r="F13" t="s">
        <v>1047</v>
      </c>
      <c r="G13" s="33">
        <v>1.7999999999999999E-2</v>
      </c>
      <c r="H13" s="18">
        <v>5.6000000000000001E-2</v>
      </c>
      <c r="I13" t="s">
        <v>1035</v>
      </c>
    </row>
    <row r="15" spans="1:13" ht="15.75" x14ac:dyDescent="0.25">
      <c r="A15" s="82" t="s">
        <v>1090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7" spans="1:13" x14ac:dyDescent="0.2">
      <c r="A17" s="3" t="s">
        <v>1097</v>
      </c>
      <c r="H17" s="40" t="s">
        <v>951</v>
      </c>
    </row>
    <row r="19" spans="1:13" x14ac:dyDescent="0.2">
      <c r="A19" t="s">
        <v>1015</v>
      </c>
      <c r="E19" s="17">
        <v>25107</v>
      </c>
      <c r="F19" t="s">
        <v>1020</v>
      </c>
      <c r="H19" t="s">
        <v>953</v>
      </c>
      <c r="L19" s="10">
        <f>E19</f>
        <v>25107</v>
      </c>
      <c r="M19" t="s">
        <v>1020</v>
      </c>
    </row>
    <row r="20" spans="1:13" x14ac:dyDescent="0.2">
      <c r="A20" t="s">
        <v>1013</v>
      </c>
      <c r="E20" s="17">
        <v>38</v>
      </c>
      <c r="F20" t="s">
        <v>904</v>
      </c>
      <c r="H20" s="41" t="s">
        <v>955</v>
      </c>
      <c r="L20" s="23">
        <f>(E20+E35)/(2*25.4)</f>
        <v>2.2440902319642477</v>
      </c>
      <c r="M20" t="s">
        <v>835</v>
      </c>
    </row>
    <row r="21" spans="1:13" x14ac:dyDescent="0.2">
      <c r="A21" t="s">
        <v>1078</v>
      </c>
      <c r="E21" s="17">
        <v>220</v>
      </c>
      <c r="F21" t="s">
        <v>904</v>
      </c>
      <c r="H21" s="41" t="s">
        <v>957</v>
      </c>
      <c r="L21" s="23">
        <f>E30*(E24+E25)/25.4</f>
        <v>7.2834645669291342</v>
      </c>
      <c r="M21" t="s">
        <v>835</v>
      </c>
    </row>
    <row r="22" spans="1:13" x14ac:dyDescent="0.2">
      <c r="A22" t="s">
        <v>1079</v>
      </c>
      <c r="E22" s="17">
        <v>150</v>
      </c>
      <c r="F22" t="s">
        <v>904</v>
      </c>
      <c r="H22" t="s">
        <v>959</v>
      </c>
      <c r="L22" s="23">
        <f>E34*(E24+E27+E26)/25.4</f>
        <v>0.74802723983826347</v>
      </c>
      <c r="M22" t="s">
        <v>835</v>
      </c>
    </row>
    <row r="23" spans="1:13" ht="15.75" x14ac:dyDescent="0.3">
      <c r="A23" t="s">
        <v>1080</v>
      </c>
      <c r="E23" s="10">
        <f>(E21+E22)/2</f>
        <v>185</v>
      </c>
      <c r="F23" t="s">
        <v>904</v>
      </c>
      <c r="H23" t="s">
        <v>1118</v>
      </c>
      <c r="L23" s="39">
        <f>0.000001*(0.2*L20^2*L19^2)/(3*L20+9*L21+10*L22)</f>
        <v>7.9596660722507373</v>
      </c>
      <c r="M23" t="s">
        <v>898</v>
      </c>
    </row>
    <row r="24" spans="1:13" x14ac:dyDescent="0.2">
      <c r="A24" t="s">
        <v>1081</v>
      </c>
      <c r="E24" s="17">
        <v>0.23</v>
      </c>
      <c r="F24" t="s">
        <v>904</v>
      </c>
    </row>
    <row r="25" spans="1:13" x14ac:dyDescent="0.2">
      <c r="A25" t="s">
        <v>1086</v>
      </c>
      <c r="E25" s="17">
        <v>0.05</v>
      </c>
      <c r="F25" t="s">
        <v>904</v>
      </c>
      <c r="H25" t="s">
        <v>1119</v>
      </c>
      <c r="L25" s="17">
        <v>30</v>
      </c>
    </row>
    <row r="26" spans="1:13" ht="15.75" x14ac:dyDescent="0.3">
      <c r="A26" t="s">
        <v>1014</v>
      </c>
      <c r="E26" s="17">
        <v>0.17</v>
      </c>
      <c r="F26" t="s">
        <v>904</v>
      </c>
      <c r="H26" t="s">
        <v>1120</v>
      </c>
      <c r="L26" s="39">
        <f>L23*L25</f>
        <v>238.78998216752211</v>
      </c>
      <c r="M26" t="s">
        <v>898</v>
      </c>
    </row>
    <row r="27" spans="1:13" ht="15.75" x14ac:dyDescent="0.3">
      <c r="A27" t="s">
        <v>1019</v>
      </c>
      <c r="E27" s="17">
        <v>0.1</v>
      </c>
      <c r="F27" t="s">
        <v>904</v>
      </c>
      <c r="H27" t="s">
        <v>1121</v>
      </c>
      <c r="L27" s="16">
        <f>E39*0.01786/(E24*E24*PI()/4)</f>
        <v>1932.6563072312269</v>
      </c>
      <c r="M27" t="s">
        <v>965</v>
      </c>
    </row>
    <row r="28" spans="1:13" ht="14.25" x14ac:dyDescent="0.2">
      <c r="H28" t="s">
        <v>966</v>
      </c>
      <c r="L28" s="17">
        <v>1</v>
      </c>
      <c r="M28" t="s">
        <v>1105</v>
      </c>
    </row>
    <row r="29" spans="1:13" x14ac:dyDescent="0.2">
      <c r="A29" t="s">
        <v>1016</v>
      </c>
      <c r="E29" s="16">
        <f>E21/(E24+E25)</f>
        <v>785.71428571428567</v>
      </c>
      <c r="F29" t="s">
        <v>1020</v>
      </c>
      <c r="H29" t="s">
        <v>968</v>
      </c>
      <c r="L29" s="39">
        <f>1000*(E24*E24*PI()/4)*L28</f>
        <v>41.547562843725018</v>
      </c>
      <c r="M29" t="s">
        <v>840</v>
      </c>
    </row>
    <row r="30" spans="1:13" x14ac:dyDescent="0.2">
      <c r="A30" t="s">
        <v>1017</v>
      </c>
      <c r="E30" s="16">
        <f>E23/(E24+E25)</f>
        <v>660.71428571428567</v>
      </c>
      <c r="F30" t="s">
        <v>1020</v>
      </c>
      <c r="H30" t="s">
        <v>970</v>
      </c>
      <c r="L30" s="23">
        <f>0.000001*L29*L29*L27</f>
        <v>3.3361512755136076</v>
      </c>
      <c r="M30" t="s">
        <v>971</v>
      </c>
    </row>
    <row r="31" spans="1:13" x14ac:dyDescent="0.2">
      <c r="A31" t="s">
        <v>1018</v>
      </c>
      <c r="E31" s="16">
        <f>E22/(E24+E25)</f>
        <v>535.71428571428567</v>
      </c>
      <c r="F31" t="s">
        <v>1020</v>
      </c>
    </row>
    <row r="32" spans="1:13" x14ac:dyDescent="0.2">
      <c r="A32" t="s">
        <v>1089</v>
      </c>
      <c r="E32" s="10">
        <f>INT((E29-E31)/E34)</f>
        <v>6</v>
      </c>
      <c r="F32" t="s">
        <v>1020</v>
      </c>
    </row>
    <row r="34" spans="1:6" x14ac:dyDescent="0.2">
      <c r="A34" t="s">
        <v>974</v>
      </c>
      <c r="E34" s="39">
        <f>E19/E30</f>
        <v>37.999783783783784</v>
      </c>
      <c r="F34" s="30" t="s">
        <v>975</v>
      </c>
    </row>
    <row r="35" spans="1:6" x14ac:dyDescent="0.2">
      <c r="A35" t="s">
        <v>976</v>
      </c>
      <c r="E35" s="39">
        <f>(E24+E26+E27)*E34*2+E20</f>
        <v>75.999783783783784</v>
      </c>
      <c r="F35" t="s">
        <v>904</v>
      </c>
    </row>
    <row r="36" spans="1:6" x14ac:dyDescent="0.2">
      <c r="A36" t="s">
        <v>977</v>
      </c>
      <c r="E36" s="23">
        <f>(E21-E22)/(2*E34)</f>
        <v>0.92105787230652802</v>
      </c>
      <c r="F36" t="s">
        <v>904</v>
      </c>
    </row>
    <row r="38" spans="1:6" x14ac:dyDescent="0.2">
      <c r="A38" t="s">
        <v>978</v>
      </c>
      <c r="E38" s="39">
        <f>PI()*(E20+E35)/2</f>
        <v>179.07044162297998</v>
      </c>
      <c r="F38" t="s">
        <v>904</v>
      </c>
    </row>
    <row r="39" spans="1:6" x14ac:dyDescent="0.2">
      <c r="A39" t="s">
        <v>979</v>
      </c>
      <c r="E39" s="16">
        <f>E38*E19/1000</f>
        <v>4495.9215778281587</v>
      </c>
      <c r="F39" t="s">
        <v>980</v>
      </c>
    </row>
    <row r="40" spans="1:6" x14ac:dyDescent="0.2">
      <c r="A40" t="s">
        <v>981</v>
      </c>
      <c r="E40" s="19">
        <f>10*E39*(0.01*E24)^2*PI()*8.93/4</f>
        <v>1.6680756377568033</v>
      </c>
      <c r="F40" t="s">
        <v>874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A1:AB319"/>
  <sheetViews>
    <sheetView workbookViewId="0">
      <selection activeCell="K27" sqref="K27"/>
    </sheetView>
  </sheetViews>
  <sheetFormatPr baseColWidth="10" defaultColWidth="9.140625" defaultRowHeight="12.75" x14ac:dyDescent="0.2"/>
  <cols>
    <col min="1" max="11" width="9.140625" customWidth="1"/>
    <col min="12" max="12" width="10.140625" bestFit="1" customWidth="1"/>
  </cols>
  <sheetData>
    <row r="1" spans="1:26" ht="23.25" x14ac:dyDescent="0.35">
      <c r="A1" s="1" t="s">
        <v>824</v>
      </c>
    </row>
    <row r="3" spans="1:26" x14ac:dyDescent="0.2">
      <c r="D3" t="s">
        <v>1021</v>
      </c>
      <c r="E3" s="286" t="s">
        <v>765</v>
      </c>
      <c r="M3" s="286" t="s">
        <v>765</v>
      </c>
    </row>
    <row r="5" spans="1:26" ht="20.25" x14ac:dyDescent="0.3">
      <c r="E5" s="210" t="s">
        <v>95</v>
      </c>
    </row>
    <row r="6" spans="1:26" x14ac:dyDescent="0.2">
      <c r="M6" s="3" t="s">
        <v>699</v>
      </c>
    </row>
    <row r="7" spans="1:26" x14ac:dyDescent="0.2">
      <c r="A7" s="130"/>
      <c r="B7" s="148"/>
      <c r="C7" s="148"/>
      <c r="D7" s="148"/>
      <c r="E7" s="148"/>
      <c r="F7" s="148"/>
      <c r="G7" s="148"/>
      <c r="H7" s="148"/>
      <c r="I7" s="131"/>
      <c r="M7" s="3" t="s">
        <v>698</v>
      </c>
    </row>
    <row r="8" spans="1:26" x14ac:dyDescent="0.2">
      <c r="A8" s="144"/>
      <c r="B8" s="25"/>
      <c r="C8" s="25"/>
      <c r="D8" s="25"/>
      <c r="E8" s="212" t="s">
        <v>59</v>
      </c>
      <c r="F8" s="25"/>
      <c r="G8" s="25"/>
      <c r="H8" s="25"/>
      <c r="I8" s="133"/>
      <c r="M8" s="367" t="s">
        <v>700</v>
      </c>
      <c r="N8" s="367"/>
      <c r="O8" s="367"/>
      <c r="P8" s="367"/>
      <c r="Q8" s="367"/>
      <c r="R8" s="367"/>
      <c r="S8" s="367"/>
      <c r="U8" s="367"/>
      <c r="V8" s="367"/>
      <c r="W8" s="367"/>
      <c r="X8" s="367"/>
      <c r="Y8" s="367"/>
      <c r="Z8" s="367"/>
    </row>
    <row r="9" spans="1:26" x14ac:dyDescent="0.2">
      <c r="A9" s="144"/>
      <c r="B9" s="25"/>
      <c r="C9" s="25"/>
      <c r="D9" s="25"/>
      <c r="E9" s="25"/>
      <c r="F9" s="25"/>
      <c r="G9" s="25"/>
      <c r="H9" s="25"/>
      <c r="I9" s="133"/>
      <c r="M9" t="s">
        <v>697</v>
      </c>
    </row>
    <row r="10" spans="1:26" x14ac:dyDescent="0.2">
      <c r="A10" s="211" t="s">
        <v>65</v>
      </c>
      <c r="B10" s="25"/>
      <c r="C10" s="25"/>
      <c r="D10" s="25"/>
      <c r="E10" s="25"/>
      <c r="F10" s="25"/>
      <c r="G10" s="25"/>
      <c r="H10" s="25"/>
      <c r="I10" s="133"/>
      <c r="M10" t="s">
        <v>693</v>
      </c>
    </row>
    <row r="11" spans="1:26" x14ac:dyDescent="0.2">
      <c r="A11" s="144" t="s">
        <v>52</v>
      </c>
      <c r="B11" s="25"/>
      <c r="C11" s="25"/>
      <c r="D11" s="213">
        <f>E140</f>
        <v>1.5694714990155001</v>
      </c>
      <c r="E11" s="25" t="s">
        <v>874</v>
      </c>
      <c r="F11" s="25"/>
      <c r="G11" s="25"/>
      <c r="H11" s="25"/>
      <c r="I11" s="133"/>
    </row>
    <row r="12" spans="1:26" x14ac:dyDescent="0.2">
      <c r="A12" s="144" t="s">
        <v>53</v>
      </c>
      <c r="B12" s="25"/>
      <c r="C12" s="25"/>
      <c r="D12" s="214">
        <f>10*E146</f>
        <v>30.0002559767482</v>
      </c>
      <c r="E12" s="25" t="s">
        <v>904</v>
      </c>
      <c r="F12" s="212" t="s">
        <v>57</v>
      </c>
      <c r="G12" s="25"/>
      <c r="H12" s="25"/>
      <c r="I12" s="133"/>
    </row>
    <row r="13" spans="1:26" x14ac:dyDescent="0.2">
      <c r="A13" s="144" t="s">
        <v>54</v>
      </c>
      <c r="B13" s="25"/>
      <c r="C13" s="25"/>
      <c r="D13" s="214">
        <f>10*E147</f>
        <v>300.00255976748201</v>
      </c>
      <c r="E13" s="25" t="s">
        <v>904</v>
      </c>
      <c r="F13" s="25" t="s">
        <v>954</v>
      </c>
      <c r="G13" s="25"/>
      <c r="H13" s="215">
        <f>10*E151</f>
        <v>31.200000000000003</v>
      </c>
      <c r="I13" s="133" t="s">
        <v>904</v>
      </c>
      <c r="M13" t="s">
        <v>681</v>
      </c>
    </row>
    <row r="14" spans="1:26" x14ac:dyDescent="0.2">
      <c r="A14" s="144" t="s">
        <v>56</v>
      </c>
      <c r="B14" s="25"/>
      <c r="C14" s="25"/>
      <c r="D14" s="214">
        <f>10*E157</f>
        <v>270.00230379073378</v>
      </c>
      <c r="E14" s="25" t="s">
        <v>904</v>
      </c>
      <c r="F14" s="25" t="s">
        <v>1125</v>
      </c>
      <c r="G14" s="25"/>
      <c r="H14" s="215">
        <f>10*E152</f>
        <v>34.900000000000006</v>
      </c>
      <c r="I14" s="133" t="s">
        <v>904</v>
      </c>
      <c r="M14" t="s">
        <v>682</v>
      </c>
    </row>
    <row r="15" spans="1:26" ht="14.25" x14ac:dyDescent="0.2">
      <c r="A15" s="144" t="s">
        <v>55</v>
      </c>
      <c r="B15" s="25"/>
      <c r="C15" s="25"/>
      <c r="D15" s="216">
        <f>E148</f>
        <v>7.0687040972924038</v>
      </c>
      <c r="E15" s="25" t="s">
        <v>1103</v>
      </c>
      <c r="F15" s="25" t="s">
        <v>1214</v>
      </c>
      <c r="G15" s="25"/>
      <c r="H15" s="215">
        <f>10*E153</f>
        <v>310</v>
      </c>
      <c r="I15" s="133" t="s">
        <v>904</v>
      </c>
    </row>
    <row r="16" spans="1:26" ht="14.25" x14ac:dyDescent="0.2">
      <c r="A16" s="144" t="s">
        <v>96</v>
      </c>
      <c r="B16" s="25"/>
      <c r="C16" s="25"/>
      <c r="D16" s="216">
        <f>E149</f>
        <v>6.3618336875631636</v>
      </c>
      <c r="E16" s="25" t="s">
        <v>1103</v>
      </c>
      <c r="F16" s="25" t="s">
        <v>58</v>
      </c>
      <c r="G16" s="25"/>
      <c r="H16" s="215">
        <f>10*E154</f>
        <v>1.8500000000000005</v>
      </c>
      <c r="I16" s="133" t="s">
        <v>904</v>
      </c>
    </row>
    <row r="17" spans="1:15" x14ac:dyDescent="0.2">
      <c r="A17" s="141"/>
      <c r="B17" s="142"/>
      <c r="C17" s="142"/>
      <c r="D17" s="142"/>
      <c r="E17" s="142"/>
      <c r="F17" s="142"/>
      <c r="G17" s="142"/>
      <c r="H17" s="142"/>
      <c r="I17" s="135"/>
    </row>
    <row r="18" spans="1:15" x14ac:dyDescent="0.2">
      <c r="A18" s="130"/>
      <c r="B18" s="148"/>
      <c r="C18" s="148"/>
      <c r="D18" s="148"/>
      <c r="E18" s="148"/>
      <c r="F18" s="148"/>
      <c r="G18" s="148"/>
      <c r="H18" s="148"/>
      <c r="I18" s="131"/>
    </row>
    <row r="19" spans="1:15" x14ac:dyDescent="0.2">
      <c r="A19" s="144"/>
      <c r="B19" s="25"/>
      <c r="C19" s="25"/>
      <c r="D19" s="25"/>
      <c r="E19" s="212" t="s">
        <v>1088</v>
      </c>
      <c r="F19" s="25"/>
      <c r="G19" s="25"/>
      <c r="H19" s="25"/>
      <c r="I19" s="133"/>
      <c r="M19" s="212" t="s">
        <v>688</v>
      </c>
    </row>
    <row r="20" spans="1:15" x14ac:dyDescent="0.2">
      <c r="A20" s="211" t="s">
        <v>64</v>
      </c>
      <c r="B20" s="25"/>
      <c r="C20" s="25"/>
      <c r="D20" s="25"/>
      <c r="E20" s="25"/>
      <c r="F20" s="25"/>
      <c r="G20" s="25"/>
      <c r="H20" s="25"/>
      <c r="I20" s="133"/>
      <c r="M20" t="s">
        <v>689</v>
      </c>
      <c r="N20" s="355"/>
    </row>
    <row r="21" spans="1:15" x14ac:dyDescent="0.2">
      <c r="A21" s="144" t="s">
        <v>61</v>
      </c>
      <c r="B21" s="25"/>
      <c r="C21" s="25"/>
      <c r="D21" s="217">
        <f>E180</f>
        <v>492.00000000000006</v>
      </c>
      <c r="E21" s="25" t="s">
        <v>913</v>
      </c>
      <c r="F21" s="217">
        <f>E167</f>
        <v>500.00426627913714</v>
      </c>
      <c r="G21" s="25" t="s">
        <v>63</v>
      </c>
      <c r="H21" s="25"/>
      <c r="I21" s="133"/>
      <c r="M21" t="s">
        <v>690</v>
      </c>
      <c r="N21" s="355"/>
    </row>
    <row r="22" spans="1:15" x14ac:dyDescent="0.2">
      <c r="A22" s="144" t="s">
        <v>60</v>
      </c>
      <c r="B22" s="25"/>
      <c r="C22" s="25"/>
      <c r="D22" s="25">
        <f>E171</f>
        <v>1.5</v>
      </c>
      <c r="E22" s="25" t="s">
        <v>904</v>
      </c>
      <c r="F22" s="25">
        <f>E170</f>
        <v>1.5002174527275784</v>
      </c>
      <c r="G22" s="25" t="s">
        <v>63</v>
      </c>
      <c r="H22" s="25"/>
      <c r="I22" s="133"/>
    </row>
    <row r="23" spans="1:15" x14ac:dyDescent="0.2">
      <c r="A23" s="144" t="s">
        <v>1227</v>
      </c>
      <c r="B23" s="25"/>
      <c r="C23" s="25"/>
      <c r="D23" s="25">
        <f>E172</f>
        <v>1.6</v>
      </c>
      <c r="E23" s="25" t="s">
        <v>904</v>
      </c>
      <c r="F23" s="25"/>
      <c r="G23" s="25"/>
      <c r="H23" s="25"/>
      <c r="I23" s="133"/>
      <c r="M23" s="237" t="s">
        <v>768</v>
      </c>
    </row>
    <row r="24" spans="1:15" ht="14.25" x14ac:dyDescent="0.2">
      <c r="A24" s="144" t="s">
        <v>62</v>
      </c>
      <c r="B24" s="25"/>
      <c r="C24" s="25"/>
      <c r="D24" s="218">
        <f>D22*D22*PI()/4</f>
        <v>1.7671458676442586</v>
      </c>
      <c r="E24" s="25" t="s">
        <v>1107</v>
      </c>
      <c r="F24" s="25">
        <f>E169</f>
        <v>1.7676582657009492</v>
      </c>
      <c r="G24" s="25" t="s">
        <v>63</v>
      </c>
      <c r="H24" s="25"/>
      <c r="I24" s="133"/>
      <c r="M24" t="s">
        <v>694</v>
      </c>
      <c r="N24" s="355"/>
    </row>
    <row r="25" spans="1:15" x14ac:dyDescent="0.2">
      <c r="A25" s="144" t="s">
        <v>1124</v>
      </c>
      <c r="B25" s="25"/>
      <c r="C25" s="25"/>
      <c r="D25" s="25">
        <f>E178</f>
        <v>3</v>
      </c>
      <c r="E25" s="25"/>
      <c r="F25" s="25"/>
      <c r="G25" s="25"/>
      <c r="H25" s="25"/>
      <c r="I25" s="133"/>
      <c r="M25" t="s">
        <v>695</v>
      </c>
      <c r="N25" s="355"/>
    </row>
    <row r="26" spans="1:15" x14ac:dyDescent="0.2">
      <c r="A26" s="144" t="s">
        <v>66</v>
      </c>
      <c r="B26" s="25"/>
      <c r="C26" s="25"/>
      <c r="D26" s="25">
        <f>10*E179</f>
        <v>265.68</v>
      </c>
      <c r="E26" s="25" t="s">
        <v>904</v>
      </c>
      <c r="F26" s="212" t="s">
        <v>76</v>
      </c>
      <c r="G26" s="25"/>
      <c r="H26" s="25"/>
      <c r="I26" s="133"/>
    </row>
    <row r="27" spans="1:15" x14ac:dyDescent="0.2">
      <c r="A27" s="144"/>
      <c r="B27" s="25"/>
      <c r="C27" s="25"/>
      <c r="D27" s="25"/>
      <c r="E27" s="25"/>
      <c r="F27" s="25" t="s">
        <v>69</v>
      </c>
      <c r="G27" s="25"/>
      <c r="H27" s="214">
        <f>E196</f>
        <v>45.4</v>
      </c>
      <c r="I27" s="133" t="s">
        <v>904</v>
      </c>
      <c r="M27" t="s">
        <v>696</v>
      </c>
      <c r="O27">
        <f>24630/1206</f>
        <v>20.422885572139304</v>
      </c>
    </row>
    <row r="28" spans="1:15" x14ac:dyDescent="0.2">
      <c r="A28" s="144" t="s">
        <v>72</v>
      </c>
      <c r="B28" s="25"/>
      <c r="C28" s="25"/>
      <c r="D28" s="25">
        <f>E184</f>
        <v>4.8000000000000007</v>
      </c>
      <c r="E28" s="25" t="s">
        <v>904</v>
      </c>
      <c r="F28" s="25" t="s">
        <v>70</v>
      </c>
      <c r="G28" s="25"/>
      <c r="H28" s="214">
        <f>E197</f>
        <v>70</v>
      </c>
      <c r="I28" s="133" t="s">
        <v>904</v>
      </c>
      <c r="O28">
        <f>24790/1211</f>
        <v>20.470685383980182</v>
      </c>
    </row>
    <row r="29" spans="1:15" x14ac:dyDescent="0.2">
      <c r="A29" s="219" t="s">
        <v>67</v>
      </c>
      <c r="B29" s="25"/>
      <c r="C29" s="25"/>
      <c r="D29" s="25">
        <f>E182</f>
        <v>0.45</v>
      </c>
      <c r="E29" s="25" t="s">
        <v>904</v>
      </c>
      <c r="F29" s="25" t="s">
        <v>1214</v>
      </c>
      <c r="G29" s="25"/>
      <c r="H29" s="217">
        <f>E198</f>
        <v>310</v>
      </c>
      <c r="I29" s="133" t="s">
        <v>904</v>
      </c>
    </row>
    <row r="30" spans="1:15" x14ac:dyDescent="0.2">
      <c r="A30" s="144" t="s">
        <v>78</v>
      </c>
      <c r="B30" s="25"/>
      <c r="C30" s="25"/>
      <c r="D30" s="214">
        <f>H14</f>
        <v>34.900000000000006</v>
      </c>
      <c r="E30" s="25" t="s">
        <v>904</v>
      </c>
      <c r="F30" s="25" t="s">
        <v>58</v>
      </c>
      <c r="G30" s="25"/>
      <c r="H30" s="216">
        <f>E199</f>
        <v>12.3</v>
      </c>
      <c r="I30" s="133" t="s">
        <v>904</v>
      </c>
      <c r="M30" s="237" t="s">
        <v>773</v>
      </c>
    </row>
    <row r="31" spans="1:15" x14ac:dyDescent="0.2">
      <c r="A31" s="144" t="s">
        <v>68</v>
      </c>
      <c r="B31" s="25"/>
      <c r="C31" s="25"/>
      <c r="D31" s="214">
        <f>E185</f>
        <v>45.400000000000006</v>
      </c>
      <c r="E31" s="25" t="s">
        <v>904</v>
      </c>
      <c r="F31" s="25"/>
      <c r="G31" s="25"/>
      <c r="H31" s="25"/>
      <c r="I31" s="133"/>
      <c r="M31" t="s">
        <v>769</v>
      </c>
      <c r="N31" s="355"/>
    </row>
    <row r="32" spans="1:15" x14ac:dyDescent="0.2">
      <c r="A32" s="144"/>
      <c r="B32" s="25"/>
      <c r="C32" s="25"/>
      <c r="D32" s="25"/>
      <c r="E32" s="25"/>
      <c r="F32" s="25"/>
      <c r="G32" s="25"/>
      <c r="H32" s="25"/>
      <c r="I32" s="133"/>
      <c r="M32" t="s">
        <v>770</v>
      </c>
      <c r="N32" s="355"/>
    </row>
    <row r="33" spans="1:19" ht="14.25" x14ac:dyDescent="0.2">
      <c r="A33" s="144" t="s">
        <v>1126</v>
      </c>
      <c r="B33" s="25"/>
      <c r="C33" s="25"/>
      <c r="D33" s="214">
        <f>E189</f>
        <v>126.13494504163022</v>
      </c>
      <c r="E33" s="25" t="s">
        <v>904</v>
      </c>
      <c r="F33" s="25" t="s">
        <v>97</v>
      </c>
      <c r="G33" s="25"/>
      <c r="H33" s="25">
        <f>D26*(D31-D30)/2</f>
        <v>1394.82</v>
      </c>
      <c r="I33" s="133" t="s">
        <v>1107</v>
      </c>
    </row>
    <row r="34" spans="1:19" ht="14.25" x14ac:dyDescent="0.2">
      <c r="A34" s="144" t="s">
        <v>1127</v>
      </c>
      <c r="B34" s="25"/>
      <c r="C34" s="25"/>
      <c r="D34" s="214">
        <f>E190</f>
        <v>62.058392960482074</v>
      </c>
      <c r="E34" s="25" t="s">
        <v>980</v>
      </c>
      <c r="F34" s="25" t="s">
        <v>98</v>
      </c>
      <c r="G34" s="25"/>
      <c r="H34" s="214">
        <f>D21*D24</f>
        <v>869.43576688097539</v>
      </c>
      <c r="I34" s="133" t="s">
        <v>1107</v>
      </c>
      <c r="M34" t="s">
        <v>696</v>
      </c>
      <c r="O34">
        <f>38480/1206</f>
        <v>31.907131011608623</v>
      </c>
    </row>
    <row r="35" spans="1:19" x14ac:dyDescent="0.2">
      <c r="A35" s="144" t="s">
        <v>93</v>
      </c>
      <c r="B35" s="25"/>
      <c r="C35" s="25"/>
      <c r="D35" s="213">
        <f>E193</f>
        <v>1.1142479163935195</v>
      </c>
      <c r="E35" s="25" t="s">
        <v>874</v>
      </c>
      <c r="F35" t="s">
        <v>99</v>
      </c>
      <c r="H35" s="221">
        <f>H34/H33</f>
        <v>0.62333187571226067</v>
      </c>
      <c r="I35" s="133"/>
      <c r="O35">
        <f>38930/1211</f>
        <v>32.146985962014867</v>
      </c>
    </row>
    <row r="36" spans="1:19" x14ac:dyDescent="0.2">
      <c r="A36" s="141"/>
      <c r="B36" s="142"/>
      <c r="C36" s="142"/>
      <c r="D36" s="142"/>
      <c r="E36" s="142"/>
      <c r="F36" s="142"/>
      <c r="G36" s="142"/>
      <c r="H36" s="142"/>
      <c r="I36" s="135"/>
    </row>
    <row r="37" spans="1:19" x14ac:dyDescent="0.2">
      <c r="A37" s="130"/>
      <c r="B37" s="148"/>
      <c r="C37" s="148"/>
      <c r="D37" s="148"/>
      <c r="E37" s="148"/>
      <c r="F37" s="148"/>
      <c r="G37" s="148"/>
      <c r="H37" s="148"/>
      <c r="I37" s="131"/>
      <c r="N37" s="25"/>
      <c r="O37" s="25"/>
      <c r="P37" s="25"/>
      <c r="Q37" s="25"/>
      <c r="R37" s="25"/>
      <c r="S37" s="25"/>
    </row>
    <row r="38" spans="1:19" x14ac:dyDescent="0.2">
      <c r="A38" s="144"/>
      <c r="B38" s="25"/>
      <c r="C38" s="25"/>
      <c r="D38" s="25"/>
      <c r="E38" s="212" t="s">
        <v>71</v>
      </c>
      <c r="F38" s="25"/>
      <c r="G38" s="25"/>
      <c r="H38" s="25"/>
      <c r="I38" s="133"/>
      <c r="M38" s="3" t="s">
        <v>1087</v>
      </c>
      <c r="N38" s="25"/>
      <c r="O38" s="25"/>
      <c r="P38" s="25"/>
      <c r="Q38" s="212"/>
      <c r="R38" s="25"/>
      <c r="S38" s="25"/>
    </row>
    <row r="39" spans="1:19" x14ac:dyDescent="0.2">
      <c r="A39" s="144"/>
      <c r="B39" s="25"/>
      <c r="C39" s="25"/>
      <c r="D39" s="25"/>
      <c r="E39" s="25"/>
      <c r="F39" s="25"/>
      <c r="G39" s="25"/>
      <c r="H39" s="25"/>
      <c r="I39" s="133"/>
      <c r="N39" s="25"/>
      <c r="O39" s="25"/>
      <c r="P39" s="25"/>
      <c r="Q39" s="25"/>
      <c r="R39" s="25"/>
      <c r="S39" s="25"/>
    </row>
    <row r="40" spans="1:19" x14ac:dyDescent="0.2">
      <c r="A40" s="211" t="s">
        <v>79</v>
      </c>
      <c r="B40" s="25"/>
      <c r="C40" s="25"/>
      <c r="D40" s="25"/>
      <c r="E40" s="25"/>
      <c r="F40" s="212" t="s">
        <v>90</v>
      </c>
      <c r="G40" s="25"/>
      <c r="H40" s="25"/>
      <c r="I40" s="133"/>
      <c r="M40" t="s">
        <v>789</v>
      </c>
      <c r="N40" s="325">
        <v>49.8</v>
      </c>
      <c r="O40" t="s">
        <v>748</v>
      </c>
      <c r="P40" s="25"/>
      <c r="Q40" s="25"/>
      <c r="R40" s="212"/>
      <c r="S40" s="25"/>
    </row>
    <row r="41" spans="1:19" x14ac:dyDescent="0.2">
      <c r="A41" s="144" t="s">
        <v>952</v>
      </c>
      <c r="B41" s="25"/>
      <c r="C41" s="25"/>
      <c r="D41" s="129">
        <f>E230</f>
        <v>48166.999999999993</v>
      </c>
      <c r="E41" s="25" t="s">
        <v>913</v>
      </c>
      <c r="F41" s="25" t="s">
        <v>1124</v>
      </c>
      <c r="G41" s="25"/>
      <c r="H41" s="128">
        <f>E245</f>
        <v>40.993191489361699</v>
      </c>
      <c r="I41" s="133" t="s">
        <v>975</v>
      </c>
      <c r="R41" s="25"/>
      <c r="S41" s="25"/>
    </row>
    <row r="42" spans="1:19" x14ac:dyDescent="0.2">
      <c r="A42" s="144" t="s">
        <v>60</v>
      </c>
      <c r="B42" s="25"/>
      <c r="C42" s="25"/>
      <c r="D42" s="79">
        <f>E235</f>
        <v>0.16</v>
      </c>
      <c r="E42" s="25" t="s">
        <v>904</v>
      </c>
      <c r="F42" s="25" t="s">
        <v>81</v>
      </c>
      <c r="G42" s="25"/>
      <c r="H42" s="129">
        <f>E240</f>
        <v>1175</v>
      </c>
      <c r="I42" s="133" t="s">
        <v>913</v>
      </c>
      <c r="R42" s="25"/>
      <c r="S42" s="25"/>
    </row>
    <row r="43" spans="1:19" x14ac:dyDescent="0.2">
      <c r="A43" s="144" t="s">
        <v>1227</v>
      </c>
      <c r="B43" s="25"/>
      <c r="C43" s="25"/>
      <c r="D43" s="79">
        <f>E236</f>
        <v>0.2</v>
      </c>
      <c r="E43" s="25" t="s">
        <v>904</v>
      </c>
      <c r="F43" s="25" t="s">
        <v>82</v>
      </c>
      <c r="G43" s="25"/>
      <c r="H43" s="129">
        <f>E241</f>
        <v>1175</v>
      </c>
      <c r="I43" s="133" t="s">
        <v>913</v>
      </c>
      <c r="R43" s="25"/>
      <c r="S43" s="25"/>
    </row>
    <row r="44" spans="1:19" ht="14.25" x14ac:dyDescent="0.2">
      <c r="A44" s="144" t="s">
        <v>89</v>
      </c>
      <c r="B44" s="25"/>
      <c r="C44" s="25"/>
      <c r="D44" s="218">
        <f>D42*D42*PI()/4</f>
        <v>2.0106192982974676E-2</v>
      </c>
      <c r="E44" s="25" t="s">
        <v>1107</v>
      </c>
      <c r="F44" s="25" t="s">
        <v>80</v>
      </c>
      <c r="G44" s="25"/>
      <c r="H44" s="129">
        <f>E242</f>
        <v>1175</v>
      </c>
      <c r="I44" s="133" t="s">
        <v>913</v>
      </c>
      <c r="R44" s="25"/>
      <c r="S44" s="25"/>
    </row>
    <row r="45" spans="1:19" x14ac:dyDescent="0.2">
      <c r="A45" s="144"/>
      <c r="B45" s="25"/>
      <c r="C45" s="25"/>
      <c r="D45" s="25"/>
      <c r="E45" s="25"/>
      <c r="F45" s="25" t="s">
        <v>83</v>
      </c>
      <c r="G45" s="25"/>
      <c r="H45" s="222">
        <f>E243</f>
        <v>0</v>
      </c>
      <c r="I45" s="133" t="s">
        <v>913</v>
      </c>
      <c r="M45" s="237" t="s">
        <v>745</v>
      </c>
      <c r="R45" s="25"/>
      <c r="S45" s="25"/>
    </row>
    <row r="46" spans="1:19" x14ac:dyDescent="0.2">
      <c r="A46" s="219" t="s">
        <v>101</v>
      </c>
      <c r="B46" s="25"/>
      <c r="C46" s="25"/>
      <c r="D46" s="214">
        <f>E239</f>
        <v>5.3100594613698933</v>
      </c>
      <c r="E46" s="25" t="s">
        <v>904</v>
      </c>
      <c r="F46" s="25"/>
      <c r="G46" s="25"/>
      <c r="H46" s="25"/>
      <c r="I46" s="133"/>
      <c r="M46" t="s">
        <v>746</v>
      </c>
      <c r="N46" s="355"/>
      <c r="R46" s="25"/>
      <c r="S46" s="25" t="s">
        <v>751</v>
      </c>
    </row>
    <row r="47" spans="1:19" x14ac:dyDescent="0.2">
      <c r="A47" s="144" t="s">
        <v>102</v>
      </c>
      <c r="B47" s="25"/>
      <c r="C47" s="25"/>
      <c r="D47" s="214">
        <f>H41*D43</f>
        <v>8.1986382978723409</v>
      </c>
      <c r="E47" s="25" t="s">
        <v>904</v>
      </c>
      <c r="F47" s="25" t="s">
        <v>85</v>
      </c>
      <c r="G47" s="25"/>
      <c r="H47" s="128">
        <f>E232</f>
        <v>235</v>
      </c>
      <c r="I47" s="133" t="s">
        <v>904</v>
      </c>
      <c r="M47" t="s">
        <v>747</v>
      </c>
      <c r="N47" s="355"/>
      <c r="P47" s="25"/>
      <c r="Q47" s="25"/>
      <c r="R47" s="25"/>
      <c r="S47" s="25"/>
    </row>
    <row r="48" spans="1:19" x14ac:dyDescent="0.2">
      <c r="A48" s="144" t="s">
        <v>103</v>
      </c>
      <c r="B48" s="25"/>
      <c r="C48" s="25"/>
      <c r="D48" s="214">
        <f>(D50-D49)/2</f>
        <v>12.001744186046501</v>
      </c>
      <c r="E48" s="25" t="s">
        <v>904</v>
      </c>
      <c r="F48" s="25" t="s">
        <v>86</v>
      </c>
      <c r="G48" s="25"/>
      <c r="H48" s="128">
        <f>E234</f>
        <v>235</v>
      </c>
      <c r="I48" s="133" t="s">
        <v>904</v>
      </c>
      <c r="P48" s="214"/>
      <c r="Q48" s="25"/>
      <c r="R48" s="25"/>
      <c r="S48" s="25"/>
    </row>
    <row r="49" spans="1:19" x14ac:dyDescent="0.2">
      <c r="A49" s="144" t="s">
        <v>78</v>
      </c>
      <c r="B49" s="25"/>
      <c r="C49" s="25"/>
      <c r="D49" s="128">
        <f>E231</f>
        <v>70</v>
      </c>
      <c r="E49" s="25" t="s">
        <v>904</v>
      </c>
      <c r="F49" s="25" t="s">
        <v>84</v>
      </c>
      <c r="G49" s="25"/>
      <c r="H49" s="128">
        <f>E233</f>
        <v>235</v>
      </c>
      <c r="I49" s="133" t="s">
        <v>904</v>
      </c>
      <c r="M49" t="s">
        <v>696</v>
      </c>
      <c r="O49">
        <f>767.6/N40</f>
        <v>15.413654618473897</v>
      </c>
      <c r="P49" s="222" t="s">
        <v>749</v>
      </c>
      <c r="Q49" s="25" t="s">
        <v>751</v>
      </c>
      <c r="R49" s="25"/>
      <c r="S49" s="25"/>
    </row>
    <row r="50" spans="1:19" x14ac:dyDescent="0.2">
      <c r="A50" s="144" t="s">
        <v>68</v>
      </c>
      <c r="B50" s="25"/>
      <c r="C50" s="25"/>
      <c r="D50" s="128">
        <f>E246</f>
        <v>94.003488372093003</v>
      </c>
      <c r="E50" s="25" t="s">
        <v>904</v>
      </c>
      <c r="F50" s="25" t="s">
        <v>88</v>
      </c>
      <c r="G50" s="25"/>
      <c r="H50" s="222">
        <f>2*E247</f>
        <v>0</v>
      </c>
      <c r="I50" s="133" t="s">
        <v>904</v>
      </c>
      <c r="O50">
        <f>401.7/N40</f>
        <v>8.0662650602409638</v>
      </c>
      <c r="P50" s="128" t="s">
        <v>750</v>
      </c>
      <c r="Q50" s="25"/>
      <c r="R50" s="25"/>
      <c r="S50" s="25"/>
    </row>
    <row r="51" spans="1:19" x14ac:dyDescent="0.2">
      <c r="A51" s="144"/>
      <c r="B51" s="25"/>
      <c r="C51" s="25"/>
      <c r="D51" s="25"/>
      <c r="E51" s="25"/>
      <c r="F51" s="25"/>
      <c r="G51" s="25"/>
      <c r="H51" s="25"/>
      <c r="I51" s="133"/>
      <c r="M51" s="25"/>
      <c r="N51" s="25"/>
      <c r="O51" s="25"/>
      <c r="P51" s="25"/>
      <c r="Q51" s="25"/>
      <c r="R51" s="25"/>
      <c r="S51" s="25"/>
    </row>
    <row r="52" spans="1:19" x14ac:dyDescent="0.2">
      <c r="A52" s="144"/>
      <c r="B52" s="25"/>
      <c r="C52" s="25"/>
      <c r="D52" s="25"/>
      <c r="E52" s="25"/>
      <c r="F52" s="25" t="s">
        <v>87</v>
      </c>
      <c r="G52" s="25"/>
      <c r="H52" s="79">
        <f>E237</f>
        <v>0.13277408637873733</v>
      </c>
      <c r="I52" s="133" t="s">
        <v>104</v>
      </c>
      <c r="M52" s="25"/>
      <c r="N52" s="25"/>
      <c r="O52" s="25"/>
      <c r="P52" s="129"/>
      <c r="Q52" s="25"/>
      <c r="R52" s="25"/>
      <c r="S52" s="25"/>
    </row>
    <row r="53" spans="1:19" x14ac:dyDescent="0.2">
      <c r="A53" s="144"/>
      <c r="B53" s="25"/>
      <c r="C53" s="25"/>
      <c r="D53" s="25"/>
      <c r="E53" s="25"/>
      <c r="F53" s="25" t="s">
        <v>91</v>
      </c>
      <c r="G53" s="25"/>
      <c r="H53" s="79">
        <f>E238</f>
        <v>0</v>
      </c>
      <c r="I53" s="133" t="s">
        <v>104</v>
      </c>
      <c r="M53" s="25"/>
      <c r="N53" s="25"/>
      <c r="O53" s="25"/>
      <c r="P53" s="223"/>
      <c r="Q53" s="25"/>
      <c r="R53" s="25"/>
      <c r="S53" s="25"/>
    </row>
    <row r="54" spans="1:19" x14ac:dyDescent="0.2">
      <c r="A54" s="144"/>
      <c r="B54" s="25"/>
      <c r="C54" s="25"/>
      <c r="D54" s="25"/>
      <c r="E54" s="25"/>
      <c r="F54" s="25"/>
      <c r="G54" s="25"/>
      <c r="H54" s="25"/>
      <c r="I54" s="133"/>
      <c r="M54" s="25"/>
      <c r="N54" s="25"/>
      <c r="O54" s="25"/>
      <c r="P54" s="25"/>
      <c r="Q54" s="25"/>
      <c r="R54" s="25"/>
      <c r="S54" s="25"/>
    </row>
    <row r="55" spans="1:19" x14ac:dyDescent="0.2">
      <c r="A55" s="144" t="s">
        <v>1126</v>
      </c>
      <c r="B55" s="25"/>
      <c r="C55" s="25"/>
      <c r="D55" s="128">
        <f>E249</f>
        <v>257.61607711643319</v>
      </c>
      <c r="E55" s="25" t="s">
        <v>904</v>
      </c>
      <c r="F55" s="25" t="s">
        <v>97</v>
      </c>
      <c r="G55" s="25"/>
      <c r="H55" s="217">
        <f>H48*(D50-D49)/2</f>
        <v>2820.4098837209276</v>
      </c>
      <c r="I55" s="133" t="s">
        <v>100</v>
      </c>
      <c r="M55" s="25"/>
      <c r="N55" s="25"/>
      <c r="O55" s="25"/>
      <c r="P55" s="128"/>
      <c r="Q55" s="25"/>
      <c r="R55" s="25"/>
      <c r="S55" s="25"/>
    </row>
    <row r="56" spans="1:19" x14ac:dyDescent="0.2">
      <c r="A56" s="144" t="s">
        <v>1127</v>
      </c>
      <c r="B56" s="25"/>
      <c r="C56" s="25"/>
      <c r="D56" s="129">
        <f>E250</f>
        <v>12408.593586467236</v>
      </c>
      <c r="E56" s="25" t="s">
        <v>980</v>
      </c>
      <c r="F56" s="25" t="s">
        <v>98</v>
      </c>
      <c r="G56" s="25"/>
      <c r="H56" s="217">
        <f>D44*D41</f>
        <v>968.45499741094102</v>
      </c>
      <c r="I56" s="133" t="s">
        <v>100</v>
      </c>
      <c r="M56" s="25"/>
      <c r="N56" s="25"/>
      <c r="O56" s="25"/>
      <c r="P56" s="129"/>
      <c r="Q56" s="25"/>
      <c r="R56" s="25"/>
      <c r="S56" s="25"/>
    </row>
    <row r="57" spans="1:19" x14ac:dyDescent="0.2">
      <c r="A57" s="144" t="s">
        <v>1128</v>
      </c>
      <c r="B57" s="25"/>
      <c r="C57" s="25"/>
      <c r="D57" s="223">
        <f>E251</f>
        <v>2.2279419252605321</v>
      </c>
      <c r="E57" s="25" t="s">
        <v>874</v>
      </c>
      <c r="F57" s="25" t="s">
        <v>99</v>
      </c>
      <c r="G57" s="25"/>
      <c r="H57" s="224">
        <f>H56/H55</f>
        <v>0.34337384895746847</v>
      </c>
      <c r="I57" s="133"/>
      <c r="M57" s="25"/>
      <c r="N57" s="25"/>
      <c r="O57" s="25"/>
      <c r="P57" s="223"/>
      <c r="Q57" s="25"/>
      <c r="R57" s="25"/>
      <c r="S57" s="25"/>
    </row>
    <row r="58" spans="1:19" x14ac:dyDescent="0.2">
      <c r="A58" s="141"/>
      <c r="B58" s="142"/>
      <c r="C58" s="142"/>
      <c r="D58" s="142"/>
      <c r="E58" s="142"/>
      <c r="F58" s="142"/>
      <c r="G58" s="142"/>
      <c r="H58" s="142"/>
      <c r="I58" s="135"/>
      <c r="M58" s="25"/>
      <c r="N58" s="25"/>
      <c r="O58" s="25"/>
      <c r="P58" s="25"/>
      <c r="Q58" s="25"/>
      <c r="R58" s="25"/>
      <c r="S58" s="25"/>
    </row>
    <row r="60" spans="1:19" ht="20.25" x14ac:dyDescent="0.3">
      <c r="E60" s="210" t="s">
        <v>105</v>
      </c>
    </row>
    <row r="62" spans="1:19" x14ac:dyDescent="0.2">
      <c r="D62" t="s">
        <v>1021</v>
      </c>
      <c r="E62" s="286" t="str">
        <f>E3</f>
        <v>Kleiner Induktor 2004: 48k/492 Windungen</v>
      </c>
    </row>
    <row r="64" spans="1:19" x14ac:dyDescent="0.2">
      <c r="A64" s="227" t="s">
        <v>111</v>
      </c>
      <c r="B64" s="148"/>
      <c r="C64" s="148"/>
      <c r="D64" s="148"/>
      <c r="E64" s="228"/>
      <c r="F64" s="228" t="s">
        <v>110</v>
      </c>
      <c r="G64" s="148"/>
      <c r="H64" s="148"/>
      <c r="I64" s="131"/>
    </row>
    <row r="65" spans="1:12" x14ac:dyDescent="0.2">
      <c r="A65" s="144"/>
      <c r="B65" s="25"/>
      <c r="C65" s="25"/>
      <c r="D65" s="25"/>
      <c r="E65" s="25"/>
      <c r="F65" s="25"/>
      <c r="G65" s="25"/>
      <c r="H65" s="25"/>
      <c r="I65" s="133"/>
    </row>
    <row r="66" spans="1:12" x14ac:dyDescent="0.2">
      <c r="A66" s="144" t="s">
        <v>121</v>
      </c>
      <c r="B66" s="25"/>
      <c r="C66" s="25"/>
      <c r="D66" s="216">
        <f>E129</f>
        <v>10</v>
      </c>
      <c r="E66" s="25" t="s">
        <v>834</v>
      </c>
      <c r="F66" s="25"/>
      <c r="G66" s="25"/>
      <c r="H66" s="25"/>
      <c r="I66" s="133"/>
    </row>
    <row r="67" spans="1:12" x14ac:dyDescent="0.2">
      <c r="A67" s="144" t="s">
        <v>122</v>
      </c>
      <c r="B67" s="25"/>
      <c r="C67" s="25"/>
      <c r="D67" s="217">
        <f>E130</f>
        <v>75254.920284100866</v>
      </c>
      <c r="E67" s="25" t="s">
        <v>837</v>
      </c>
      <c r="F67" s="25"/>
      <c r="G67" s="25"/>
      <c r="H67" s="25"/>
      <c r="I67" s="133"/>
    </row>
    <row r="68" spans="1:12" x14ac:dyDescent="0.2">
      <c r="A68" s="144" t="s">
        <v>123</v>
      </c>
      <c r="B68" s="25"/>
      <c r="C68" s="25"/>
      <c r="D68" s="214">
        <f>E131</f>
        <v>1.2260940766619062</v>
      </c>
      <c r="E68" s="25" t="s">
        <v>840</v>
      </c>
      <c r="F68" s="25" t="s">
        <v>107</v>
      </c>
      <c r="G68" s="25"/>
      <c r="H68" s="129">
        <f>E219</f>
        <v>9300.0186000371996</v>
      </c>
      <c r="I68" s="229" t="s">
        <v>931</v>
      </c>
    </row>
    <row r="69" spans="1:12" x14ac:dyDescent="0.2">
      <c r="A69" s="144" t="s">
        <v>108</v>
      </c>
      <c r="B69" s="25"/>
      <c r="C69" s="25"/>
      <c r="D69" s="217">
        <f>E132</f>
        <v>92.269612000000009</v>
      </c>
      <c r="E69" s="25" t="s">
        <v>843</v>
      </c>
      <c r="F69" s="25" t="s">
        <v>106</v>
      </c>
      <c r="G69" s="25"/>
      <c r="H69" s="129">
        <f>E220</f>
        <v>59165.171624680668</v>
      </c>
      <c r="I69" s="229" t="s">
        <v>933</v>
      </c>
    </row>
    <row r="70" spans="1:12" x14ac:dyDescent="0.2">
      <c r="A70" s="144" t="s">
        <v>109</v>
      </c>
      <c r="B70" s="25"/>
      <c r="C70" s="25"/>
      <c r="D70" s="25">
        <f>E136</f>
        <v>230.67403000000002</v>
      </c>
      <c r="E70" s="25" t="s">
        <v>843</v>
      </c>
      <c r="F70" s="25"/>
      <c r="G70" s="25"/>
      <c r="H70" s="25"/>
      <c r="I70" s="133"/>
    </row>
    <row r="71" spans="1:12" x14ac:dyDescent="0.2">
      <c r="A71" s="144" t="s">
        <v>124</v>
      </c>
      <c r="B71" s="25"/>
      <c r="C71" s="25"/>
      <c r="D71" s="224">
        <f>E135</f>
        <v>0.4</v>
      </c>
      <c r="E71" s="25"/>
      <c r="F71" s="25"/>
      <c r="G71" s="25"/>
      <c r="H71" s="25"/>
      <c r="I71" s="133"/>
    </row>
    <row r="72" spans="1:12" x14ac:dyDescent="0.2">
      <c r="A72" s="141"/>
      <c r="B72" s="142"/>
      <c r="C72" s="142"/>
      <c r="D72" s="142"/>
      <c r="E72" s="142"/>
      <c r="F72" s="142"/>
      <c r="G72" s="142"/>
      <c r="H72" s="142"/>
      <c r="I72" s="135"/>
    </row>
    <row r="73" spans="1:12" x14ac:dyDescent="0.2">
      <c r="A73" s="130"/>
      <c r="B73" s="148"/>
      <c r="C73" s="148"/>
      <c r="D73" s="148"/>
      <c r="E73" s="148"/>
      <c r="F73" s="148"/>
      <c r="G73" s="148"/>
      <c r="H73" s="148"/>
      <c r="I73" s="131"/>
    </row>
    <row r="74" spans="1:12" x14ac:dyDescent="0.2">
      <c r="A74" s="211" t="s">
        <v>1088</v>
      </c>
      <c r="B74" s="25"/>
      <c r="C74" s="25"/>
      <c r="D74" s="25"/>
      <c r="E74" s="25"/>
      <c r="F74" s="212" t="s">
        <v>71</v>
      </c>
      <c r="G74" s="25"/>
      <c r="H74" s="25"/>
      <c r="I74" s="230"/>
    </row>
    <row r="75" spans="1:12" x14ac:dyDescent="0.2">
      <c r="A75" s="144"/>
      <c r="B75" s="25"/>
      <c r="C75" s="25"/>
      <c r="D75" s="25"/>
      <c r="E75" s="25"/>
      <c r="F75" s="25"/>
      <c r="G75" s="25"/>
      <c r="H75" s="25"/>
      <c r="I75" s="230"/>
    </row>
    <row r="76" spans="1:12" x14ac:dyDescent="0.2">
      <c r="A76" s="144" t="s">
        <v>125</v>
      </c>
      <c r="B76" s="25"/>
      <c r="C76" s="25"/>
      <c r="D76" s="25">
        <f>E160</f>
        <v>56.321519207616348</v>
      </c>
      <c r="E76" s="25" t="s">
        <v>837</v>
      </c>
      <c r="F76" s="25" t="s">
        <v>136</v>
      </c>
      <c r="G76" s="25"/>
      <c r="H76" s="234">
        <f>E217</f>
        <v>96.333178031544691</v>
      </c>
      <c r="I76" s="133"/>
      <c r="J76" s="33" t="s">
        <v>138</v>
      </c>
      <c r="K76">
        <f>D41/D21</f>
        <v>97.900406504065018</v>
      </c>
      <c r="L76" t="s">
        <v>139</v>
      </c>
    </row>
    <row r="77" spans="1:12" ht="15.75" x14ac:dyDescent="0.3">
      <c r="A77" s="144" t="s">
        <v>126</v>
      </c>
      <c r="B77" s="25"/>
      <c r="C77" s="25"/>
      <c r="D77" s="25">
        <f>E161</f>
        <v>100</v>
      </c>
      <c r="E77" s="25" t="s">
        <v>893</v>
      </c>
      <c r="F77" s="25" t="s">
        <v>142</v>
      </c>
      <c r="G77" s="25"/>
      <c r="H77" s="128">
        <f t="shared" ref="H77:H83" si="0">M244</f>
        <v>49.512051491478267</v>
      </c>
      <c r="I77" s="133" t="s">
        <v>898</v>
      </c>
    </row>
    <row r="78" spans="1:12" x14ac:dyDescent="0.2">
      <c r="A78" s="144" t="s">
        <v>127</v>
      </c>
      <c r="B78" s="25"/>
      <c r="C78" s="25"/>
      <c r="D78" s="25">
        <f>E162</f>
        <v>4.0956642016290994</v>
      </c>
      <c r="E78" s="25" t="s">
        <v>895</v>
      </c>
      <c r="F78" s="25" t="s">
        <v>144</v>
      </c>
      <c r="G78" s="25"/>
      <c r="H78" s="209">
        <f t="shared" si="0"/>
        <v>8.1199999999999992</v>
      </c>
      <c r="I78" s="133"/>
    </row>
    <row r="79" spans="1:12" ht="15.75" x14ac:dyDescent="0.3">
      <c r="A79" s="144" t="s">
        <v>128</v>
      </c>
      <c r="B79" s="25"/>
      <c r="C79" s="25"/>
      <c r="D79" s="216">
        <f>E168</f>
        <v>2.3170000000000002</v>
      </c>
      <c r="E79" s="25" t="s">
        <v>120</v>
      </c>
      <c r="F79" s="25" t="s">
        <v>143</v>
      </c>
      <c r="G79" s="25"/>
      <c r="H79" s="128">
        <f t="shared" si="0"/>
        <v>402.03785811080348</v>
      </c>
      <c r="I79" s="133" t="s">
        <v>898</v>
      </c>
    </row>
    <row r="80" spans="1:12" x14ac:dyDescent="0.2">
      <c r="A80" s="144" t="s">
        <v>119</v>
      </c>
      <c r="B80" s="25"/>
      <c r="C80" s="25"/>
      <c r="D80" s="218">
        <f>E191</f>
        <v>0.62720509866666696</v>
      </c>
      <c r="E80" s="25" t="s">
        <v>965</v>
      </c>
      <c r="F80" s="25" t="s">
        <v>134</v>
      </c>
      <c r="G80" s="25"/>
      <c r="H80" s="129">
        <f t="shared" si="0"/>
        <v>11022.349265321582</v>
      </c>
      <c r="I80" s="133" t="s">
        <v>965</v>
      </c>
    </row>
    <row r="81" spans="1:11" x14ac:dyDescent="0.2">
      <c r="A81" s="144" t="s">
        <v>114</v>
      </c>
      <c r="B81" s="25"/>
      <c r="C81" s="25" t="str">
        <f>CONCATENATE(TEXT(C192,"###0")," turns")</f>
        <v>492 turns</v>
      </c>
      <c r="D81" s="218">
        <f>1000*E192</f>
        <v>47.091272075558742</v>
      </c>
      <c r="E81" s="25" t="s">
        <v>995</v>
      </c>
      <c r="F81" s="25" t="s">
        <v>133</v>
      </c>
      <c r="G81" s="25"/>
      <c r="H81" s="128">
        <f t="shared" si="0"/>
        <v>4</v>
      </c>
      <c r="I81" s="133" t="s">
        <v>120</v>
      </c>
    </row>
    <row r="82" spans="1:11" x14ac:dyDescent="0.2">
      <c r="A82" s="144" t="s">
        <v>129</v>
      </c>
      <c r="B82" s="25"/>
      <c r="C82" s="25"/>
      <c r="D82" s="214">
        <f>D81/D80</f>
        <v>75.081137215987084</v>
      </c>
      <c r="E82" s="25" t="s">
        <v>130</v>
      </c>
      <c r="F82" s="25" t="s">
        <v>137</v>
      </c>
      <c r="G82" s="25"/>
      <c r="H82" s="128">
        <f t="shared" si="0"/>
        <v>80.424771931898704</v>
      </c>
      <c r="I82" s="133" t="s">
        <v>840</v>
      </c>
    </row>
    <row r="83" spans="1:11" x14ac:dyDescent="0.2">
      <c r="A83" s="144" t="s">
        <v>135</v>
      </c>
      <c r="B83" s="25"/>
      <c r="C83" s="25"/>
      <c r="D83" s="217">
        <f>E225</f>
        <v>781.19420351167423</v>
      </c>
      <c r="E83" s="25" t="s">
        <v>837</v>
      </c>
      <c r="F83" s="25" t="s">
        <v>132</v>
      </c>
      <c r="G83" s="25"/>
      <c r="H83" s="128">
        <f t="shared" si="0"/>
        <v>71.294141608337043</v>
      </c>
      <c r="I83" s="133" t="s">
        <v>971</v>
      </c>
    </row>
    <row r="84" spans="1:11" x14ac:dyDescent="0.2">
      <c r="A84" s="141"/>
      <c r="B84" s="142"/>
      <c r="C84" s="142"/>
      <c r="D84" s="232"/>
      <c r="E84" s="142"/>
      <c r="F84" s="142"/>
      <c r="G84" s="142"/>
      <c r="H84" s="142"/>
      <c r="I84" s="135"/>
    </row>
    <row r="86" spans="1:11" ht="20.25" x14ac:dyDescent="0.3">
      <c r="A86" s="46" t="s">
        <v>466</v>
      </c>
    </row>
    <row r="88" spans="1:11" x14ac:dyDescent="0.2">
      <c r="C88" s="2" t="s">
        <v>410</v>
      </c>
      <c r="D88" s="2" t="s">
        <v>413</v>
      </c>
      <c r="E88" s="2" t="s">
        <v>857</v>
      </c>
      <c r="F88" s="2" t="s">
        <v>414</v>
      </c>
      <c r="H88" t="s">
        <v>420</v>
      </c>
    </row>
    <row r="89" spans="1:11" x14ac:dyDescent="0.2">
      <c r="A89" s="3" t="s">
        <v>409</v>
      </c>
      <c r="B89" s="2" t="s">
        <v>411</v>
      </c>
      <c r="C89" s="287">
        <v>0</v>
      </c>
      <c r="D89" s="288">
        <f>D13/20</f>
        <v>15.0001279883741</v>
      </c>
      <c r="E89" s="290">
        <f>D12/20</f>
        <v>1.5000127988374099</v>
      </c>
      <c r="F89" s="288">
        <f>D89</f>
        <v>15.0001279883741</v>
      </c>
      <c r="G89" t="s">
        <v>421</v>
      </c>
      <c r="H89" s="53">
        <v>0.35</v>
      </c>
      <c r="I89" t="s">
        <v>904</v>
      </c>
    </row>
    <row r="90" spans="1:11" x14ac:dyDescent="0.2">
      <c r="A90" t="s">
        <v>416</v>
      </c>
      <c r="B90" t="s">
        <v>412</v>
      </c>
      <c r="C90" s="287">
        <v>0</v>
      </c>
      <c r="D90" s="288">
        <f>-D89</f>
        <v>-15.0001279883741</v>
      </c>
      <c r="E90" s="290">
        <f>E89</f>
        <v>1.5000127988374099</v>
      </c>
      <c r="F90" s="288">
        <f>-F89</f>
        <v>-15.0001279883741</v>
      </c>
      <c r="G90" t="s">
        <v>422</v>
      </c>
      <c r="H90" s="291">
        <v>0.9</v>
      </c>
      <c r="I90" s="30" t="s">
        <v>423</v>
      </c>
    </row>
    <row r="92" spans="1:11" x14ac:dyDescent="0.2">
      <c r="C92" s="2" t="s">
        <v>410</v>
      </c>
      <c r="D92" s="2" t="s">
        <v>413</v>
      </c>
      <c r="E92" s="2" t="s">
        <v>857</v>
      </c>
      <c r="F92" s="2" t="s">
        <v>414</v>
      </c>
      <c r="H92" t="s">
        <v>415</v>
      </c>
    </row>
    <row r="93" spans="1:11" ht="15.75" x14ac:dyDescent="0.3">
      <c r="A93" s="3" t="s">
        <v>1088</v>
      </c>
      <c r="B93" s="2" t="s">
        <v>411</v>
      </c>
      <c r="C93" s="290">
        <f>H14/20</f>
        <v>1.7450000000000003</v>
      </c>
      <c r="D93" s="292">
        <f>D26/20</f>
        <v>13.284000000000001</v>
      </c>
      <c r="E93" s="290">
        <f>D31/20</f>
        <v>2.2700000000000005</v>
      </c>
      <c r="F93" s="288">
        <f>D93</f>
        <v>13.284000000000001</v>
      </c>
      <c r="G93" t="s">
        <v>834</v>
      </c>
      <c r="H93" t="s">
        <v>457</v>
      </c>
    </row>
    <row r="94" spans="1:11" ht="14.25" x14ac:dyDescent="0.2">
      <c r="A94" t="s">
        <v>417</v>
      </c>
      <c r="B94" t="s">
        <v>412</v>
      </c>
      <c r="C94" s="290">
        <f>C93</f>
        <v>1.7450000000000003</v>
      </c>
      <c r="D94" s="292">
        <f>-D93</f>
        <v>-13.284000000000001</v>
      </c>
      <c r="E94" s="290">
        <f>E93</f>
        <v>2.2700000000000005</v>
      </c>
      <c r="F94" s="288">
        <f>-F93</f>
        <v>-13.284000000000001</v>
      </c>
      <c r="G94" t="s">
        <v>834</v>
      </c>
      <c r="H94" s="58">
        <f>D21*D78/((E93-C93)*2*F93*100)</f>
        <v>1.4446787307333682</v>
      </c>
      <c r="I94" t="s">
        <v>432</v>
      </c>
      <c r="J94" t="s">
        <v>116</v>
      </c>
    </row>
    <row r="95" spans="1:11" x14ac:dyDescent="0.2">
      <c r="K95" t="s">
        <v>115</v>
      </c>
    </row>
    <row r="96" spans="1:11" ht="15.75" x14ac:dyDescent="0.3">
      <c r="C96" s="2" t="s">
        <v>410</v>
      </c>
      <c r="D96" s="2" t="s">
        <v>413</v>
      </c>
      <c r="E96" s="2" t="s">
        <v>857</v>
      </c>
      <c r="F96" s="2" t="s">
        <v>414</v>
      </c>
      <c r="H96" t="s">
        <v>415</v>
      </c>
      <c r="J96" s="2" t="s">
        <v>424</v>
      </c>
    </row>
    <row r="97" spans="1:10" ht="15.75" x14ac:dyDescent="0.3">
      <c r="A97" s="3" t="s">
        <v>418</v>
      </c>
      <c r="B97" s="2" t="s">
        <v>411</v>
      </c>
      <c r="C97" s="290">
        <f>D49/20</f>
        <v>3.5</v>
      </c>
      <c r="D97" s="288">
        <f>H47/20</f>
        <v>11.75</v>
      </c>
      <c r="E97" s="290">
        <f>D50/20</f>
        <v>4.7001744186046501</v>
      </c>
      <c r="F97" s="288">
        <f>H49/20</f>
        <v>11.75</v>
      </c>
      <c r="G97" t="s">
        <v>834</v>
      </c>
      <c r="H97" t="s">
        <v>456</v>
      </c>
      <c r="J97" s="289">
        <f>D41*D68*0.001</f>
        <v>59.057273390574025</v>
      </c>
    </row>
    <row r="98" spans="1:10" ht="15.75" x14ac:dyDescent="0.3">
      <c r="A98" t="s">
        <v>417</v>
      </c>
      <c r="B98" t="s">
        <v>412</v>
      </c>
      <c r="C98" s="290">
        <f>C97</f>
        <v>3.5</v>
      </c>
      <c r="D98" s="288">
        <f>-D97</f>
        <v>-11.75</v>
      </c>
      <c r="E98" s="290">
        <f>E97</f>
        <v>4.7001744186046501</v>
      </c>
      <c r="F98" s="288">
        <f>-F97</f>
        <v>-11.75</v>
      </c>
      <c r="G98" t="s">
        <v>834</v>
      </c>
      <c r="H98" s="58">
        <f>D21*D78/((E97-C97)*2*F97*100)</f>
        <v>0.71445884473467636</v>
      </c>
      <c r="I98" t="s">
        <v>432</v>
      </c>
      <c r="J98" t="s">
        <v>433</v>
      </c>
    </row>
    <row r="99" spans="1:10" ht="14.25" x14ac:dyDescent="0.2">
      <c r="H99">
        <f>D41*0.001*D68/((E97-C97)*(D97+F97)*100)</f>
        <v>2.0939252032637388E-2</v>
      </c>
      <c r="I99" t="s">
        <v>432</v>
      </c>
      <c r="J99" t="s">
        <v>117</v>
      </c>
    </row>
    <row r="101" spans="1:10" ht="20.25" x14ac:dyDescent="0.3">
      <c r="B101" s="46" t="s">
        <v>465</v>
      </c>
    </row>
    <row r="103" spans="1:10" ht="15.75" x14ac:dyDescent="0.3">
      <c r="F103" s="33" t="s">
        <v>460</v>
      </c>
      <c r="G103" s="260">
        <f>D21*D78</f>
        <v>2015.0667872015172</v>
      </c>
      <c r="H103" t="s">
        <v>895</v>
      </c>
    </row>
    <row r="104" spans="1:10" ht="15.75" x14ac:dyDescent="0.3">
      <c r="B104" t="s">
        <v>458</v>
      </c>
      <c r="C104" s="28">
        <v>0.84838753473557205</v>
      </c>
      <c r="D104" t="s">
        <v>459</v>
      </c>
      <c r="F104" s="33" t="s">
        <v>455</v>
      </c>
      <c r="G104" s="10">
        <f>D78</f>
        <v>4.0956642016290994</v>
      </c>
      <c r="H104" t="s">
        <v>895</v>
      </c>
    </row>
    <row r="105" spans="1:10" ht="15.75" x14ac:dyDescent="0.3">
      <c r="A105" t="s">
        <v>440</v>
      </c>
      <c r="C105" s="293">
        <v>0.64641329999999997</v>
      </c>
      <c r="D105" t="s">
        <v>428</v>
      </c>
      <c r="F105" t="s">
        <v>438</v>
      </c>
      <c r="G105" s="10">
        <f>1000*C105/(D78*D78)</f>
        <v>38.53555331091254</v>
      </c>
      <c r="H105" t="s">
        <v>995</v>
      </c>
      <c r="J105" t="s">
        <v>451</v>
      </c>
    </row>
    <row r="106" spans="1:10" ht="15.75" x14ac:dyDescent="0.3">
      <c r="A106" t="s">
        <v>450</v>
      </c>
      <c r="C106" s="293">
        <v>0.31633739999999999</v>
      </c>
      <c r="D106" t="s">
        <v>427</v>
      </c>
      <c r="F106" t="s">
        <v>445</v>
      </c>
      <c r="G106" s="10">
        <f>2000*C106/(D78*D78)</f>
        <v>37.716540615533333</v>
      </c>
      <c r="H106" t="s">
        <v>995</v>
      </c>
      <c r="J106" t="s">
        <v>452</v>
      </c>
    </row>
    <row r="107" spans="1:10" ht="15.75" x14ac:dyDescent="0.3">
      <c r="A107" t="s">
        <v>429</v>
      </c>
      <c r="C107" s="293">
        <v>8.933634E-7</v>
      </c>
      <c r="D107" t="s">
        <v>439</v>
      </c>
      <c r="F107" s="33" t="s">
        <v>463</v>
      </c>
      <c r="G107" s="29">
        <f>1000*(D41/(D78*(0.000001*H55)))*C107</f>
        <v>3725.1278586151393</v>
      </c>
      <c r="H107" t="s">
        <v>995</v>
      </c>
      <c r="J107" t="s">
        <v>118</v>
      </c>
    </row>
    <row r="108" spans="1:10" ht="15.75" x14ac:dyDescent="0.3">
      <c r="A108" t="s">
        <v>431</v>
      </c>
      <c r="C108" s="360">
        <f>0.000001*H55</f>
        <v>2.8204098837209274E-3</v>
      </c>
      <c r="D108" t="s">
        <v>430</v>
      </c>
      <c r="F108" s="33" t="s">
        <v>462</v>
      </c>
      <c r="G108" s="10">
        <f>0.001*G107/SQRT(0.001*G105*G112)</f>
        <v>0.95007886236117456</v>
      </c>
      <c r="H108" t="s">
        <v>423</v>
      </c>
    </row>
    <row r="110" spans="1:10" ht="15.75" x14ac:dyDescent="0.3">
      <c r="C110" s="31"/>
      <c r="F110" s="33" t="s">
        <v>461</v>
      </c>
      <c r="G110" s="260">
        <f>G103</f>
        <v>2015.0667872015172</v>
      </c>
      <c r="H110" t="s">
        <v>895</v>
      </c>
    </row>
    <row r="111" spans="1:10" ht="15.75" x14ac:dyDescent="0.3">
      <c r="B111" t="s">
        <v>458</v>
      </c>
      <c r="C111" s="28">
        <v>0.86385398288454796</v>
      </c>
      <c r="D111" t="s">
        <v>459</v>
      </c>
      <c r="F111" s="33" t="s">
        <v>443</v>
      </c>
      <c r="G111" s="10">
        <f>G103/D41</f>
        <v>4.1835007104480612E-2</v>
      </c>
      <c r="H111" t="s">
        <v>895</v>
      </c>
      <c r="J111" t="s">
        <v>433</v>
      </c>
    </row>
    <row r="112" spans="1:10" ht="15.75" x14ac:dyDescent="0.3">
      <c r="A112" t="s">
        <v>441</v>
      </c>
      <c r="C112" s="293">
        <v>0.69820210000000005</v>
      </c>
      <c r="D112" t="s">
        <v>428</v>
      </c>
      <c r="F112" t="s">
        <v>442</v>
      </c>
      <c r="G112" s="10">
        <f>C112/(G111*G111)</f>
        <v>398.93437203445859</v>
      </c>
      <c r="H112" t="s">
        <v>898</v>
      </c>
      <c r="J112" t="s">
        <v>453</v>
      </c>
    </row>
    <row r="113" spans="1:21" ht="15.75" x14ac:dyDescent="0.3">
      <c r="A113" t="s">
        <v>450</v>
      </c>
      <c r="C113" s="293">
        <v>0.34066340000000001</v>
      </c>
      <c r="D113" t="s">
        <v>427</v>
      </c>
      <c r="F113" t="s">
        <v>444</v>
      </c>
      <c r="G113" s="10">
        <f>2*C113/(G111*G111)</f>
        <v>389.29226811011762</v>
      </c>
      <c r="H113" t="s">
        <v>898</v>
      </c>
      <c r="J113" t="s">
        <v>454</v>
      </c>
    </row>
    <row r="114" spans="1:21" ht="15.75" x14ac:dyDescent="0.3">
      <c r="A114" t="s">
        <v>446</v>
      </c>
      <c r="C114" s="293">
        <v>4.4179440000000001E-7</v>
      </c>
      <c r="D114" t="s">
        <v>439</v>
      </c>
      <c r="F114" s="33" t="s">
        <v>464</v>
      </c>
      <c r="G114" s="10">
        <f>1000000000*C114*D21/(H33*G111)</f>
        <v>3725.0087422377155</v>
      </c>
      <c r="H114" t="s">
        <v>995</v>
      </c>
      <c r="J114" t="s">
        <v>449</v>
      </c>
    </row>
    <row r="115" spans="1:21" ht="15.75" x14ac:dyDescent="0.3">
      <c r="A115" t="s">
        <v>447</v>
      </c>
      <c r="C115" s="360">
        <f>0.000001*H33</f>
        <v>1.39482E-3</v>
      </c>
      <c r="D115" t="s">
        <v>430</v>
      </c>
      <c r="F115" s="33" t="s">
        <v>462</v>
      </c>
      <c r="G115" s="10">
        <f>0.001*G114/SQRT(0.001*G105*G112)</f>
        <v>0.95004848220869476</v>
      </c>
      <c r="H115" t="s">
        <v>423</v>
      </c>
    </row>
    <row r="116" spans="1:21" x14ac:dyDescent="0.2">
      <c r="C116" s="361">
        <v>1.394873E-3</v>
      </c>
      <c r="D116" s="145"/>
      <c r="E116" s="145"/>
      <c r="F116" s="145"/>
    </row>
    <row r="117" spans="1:21" x14ac:dyDescent="0.2">
      <c r="C117" s="145"/>
      <c r="D117" s="145"/>
      <c r="E117" s="145"/>
      <c r="F117" s="145"/>
    </row>
    <row r="118" spans="1:21" x14ac:dyDescent="0.2">
      <c r="C118" s="145"/>
      <c r="D118" s="145"/>
      <c r="E118" s="145"/>
      <c r="F118" s="145"/>
    </row>
    <row r="120" spans="1:21" ht="23.25" x14ac:dyDescent="0.35">
      <c r="A120" s="1" t="s">
        <v>824</v>
      </c>
    </row>
    <row r="123" spans="1:21" ht="20.25" x14ac:dyDescent="0.3">
      <c r="E123" s="210" t="s">
        <v>194</v>
      </c>
    </row>
    <row r="126" spans="1:21" x14ac:dyDescent="0.2">
      <c r="E126" s="2" t="s">
        <v>825</v>
      </c>
      <c r="G126" s="2" t="s">
        <v>825</v>
      </c>
      <c r="O126" s="3" t="s">
        <v>826</v>
      </c>
    </row>
    <row r="127" spans="1:21" ht="13.5" thickBot="1" x14ac:dyDescent="0.25">
      <c r="E127" s="2" t="s">
        <v>827</v>
      </c>
      <c r="G127" s="2" t="s">
        <v>828</v>
      </c>
    </row>
    <row r="128" spans="1:21" x14ac:dyDescent="0.2">
      <c r="A128" s="3" t="s">
        <v>829</v>
      </c>
      <c r="E128" t="s">
        <v>830</v>
      </c>
      <c r="G128" t="s">
        <v>831</v>
      </c>
      <c r="O128" s="4" t="s">
        <v>832</v>
      </c>
      <c r="P128" s="5"/>
      <c r="Q128" s="6"/>
      <c r="R128" s="6"/>
      <c r="S128" s="6"/>
      <c r="T128" s="7"/>
      <c r="U128" s="8"/>
    </row>
    <row r="129" spans="1:22" ht="13.5" thickBot="1" x14ac:dyDescent="0.25">
      <c r="A129" t="s">
        <v>833</v>
      </c>
      <c r="E129" s="17">
        <v>10</v>
      </c>
      <c r="F129" t="s">
        <v>834</v>
      </c>
      <c r="G129" s="10">
        <f>E129/2.54</f>
        <v>3.9370078740157481</v>
      </c>
      <c r="H129" t="s">
        <v>835</v>
      </c>
      <c r="O129" s="11" t="s">
        <v>1098</v>
      </c>
      <c r="P129" s="12"/>
      <c r="Q129" s="13"/>
      <c r="R129" s="13"/>
      <c r="S129" s="13"/>
      <c r="T129" s="13"/>
      <c r="U129" s="14"/>
    </row>
    <row r="130" spans="1:22" x14ac:dyDescent="0.2">
      <c r="A130" t="s">
        <v>836</v>
      </c>
      <c r="E130" s="15">
        <f>1000*($R$133+$R$135*E129+$R$137*E129^2+$R$139*E129^3+$R$141*E129^4+$R$143*E129^5)/(1+$R$134*E129+$R$136*E129^2+$R$138*E129^3+$R$140*E129^4+$R$142*E129^5)</f>
        <v>75254.920284100866</v>
      </c>
      <c r="F130" t="s">
        <v>837</v>
      </c>
      <c r="G130" s="16">
        <f>E130</f>
        <v>75254.920284100866</v>
      </c>
      <c r="H130" t="s">
        <v>837</v>
      </c>
      <c r="I130" t="s">
        <v>838</v>
      </c>
    </row>
    <row r="131" spans="1:22" x14ac:dyDescent="0.2">
      <c r="A131" t="s">
        <v>839</v>
      </c>
      <c r="E131" s="17">
        <v>1.2260940766619062</v>
      </c>
      <c r="F131" t="s">
        <v>840</v>
      </c>
      <c r="G131" s="10">
        <f>E131</f>
        <v>1.2260940766619062</v>
      </c>
      <c r="H131" t="s">
        <v>840</v>
      </c>
      <c r="O131" t="s">
        <v>50</v>
      </c>
      <c r="R131" t="s">
        <v>841</v>
      </c>
    </row>
    <row r="132" spans="1:22" x14ac:dyDescent="0.2">
      <c r="A132" t="s">
        <v>842</v>
      </c>
      <c r="E132" s="10">
        <f>0.001*E131*E130</f>
        <v>92.269612000000009</v>
      </c>
      <c r="F132" t="s">
        <v>843</v>
      </c>
      <c r="G132" s="10">
        <f>E132</f>
        <v>92.269612000000009</v>
      </c>
      <c r="H132" t="s">
        <v>843</v>
      </c>
      <c r="Q132" t="s">
        <v>844</v>
      </c>
      <c r="R132" t="s">
        <v>845</v>
      </c>
      <c r="S132" t="s">
        <v>846</v>
      </c>
      <c r="T132" t="s">
        <v>847</v>
      </c>
      <c r="U132" t="s">
        <v>848</v>
      </c>
      <c r="V132" t="s">
        <v>848</v>
      </c>
    </row>
    <row r="133" spans="1:22" x14ac:dyDescent="0.2">
      <c r="E133" s="18"/>
      <c r="G133" s="18"/>
      <c r="O133" t="s">
        <v>849</v>
      </c>
      <c r="P133" t="s">
        <v>841</v>
      </c>
      <c r="Q133" s="2" t="s">
        <v>850</v>
      </c>
      <c r="R133">
        <v>0.10168117593888058</v>
      </c>
      <c r="S133">
        <v>1.3223173201672782E-8</v>
      </c>
      <c r="T133">
        <v>7689619.9110526303</v>
      </c>
      <c r="U133">
        <v>0.10168114835582463</v>
      </c>
      <c r="V133">
        <v>0.10168120352193655</v>
      </c>
    </row>
    <row r="134" spans="1:22" x14ac:dyDescent="0.2">
      <c r="A134" s="3" t="s">
        <v>851</v>
      </c>
      <c r="E134" s="18"/>
      <c r="G134" s="18"/>
      <c r="O134" t="s">
        <v>852</v>
      </c>
      <c r="P134">
        <v>7909</v>
      </c>
      <c r="Q134" s="2" t="s">
        <v>853</v>
      </c>
      <c r="R134">
        <v>-0.10298422903794459</v>
      </c>
      <c r="S134">
        <v>5.3550248326002946E-6</v>
      </c>
      <c r="T134">
        <v>-19231.32613895601</v>
      </c>
      <c r="U134">
        <v>-0.10299539942400515</v>
      </c>
      <c r="V134">
        <v>-0.10297305865188403</v>
      </c>
    </row>
    <row r="135" spans="1:22" x14ac:dyDescent="0.2">
      <c r="A135" t="s">
        <v>854</v>
      </c>
      <c r="E135" s="17">
        <v>0.4</v>
      </c>
      <c r="F135" t="s">
        <v>855</v>
      </c>
      <c r="G135" s="10">
        <f>E135</f>
        <v>0.4</v>
      </c>
      <c r="H135" t="s">
        <v>855</v>
      </c>
      <c r="I135" t="s">
        <v>856</v>
      </c>
      <c r="L135">
        <v>0.32623924554399819</v>
      </c>
      <c r="O135" t="s">
        <v>857</v>
      </c>
      <c r="P135">
        <v>0.99999210248868464</v>
      </c>
      <c r="Q135" s="2" t="s">
        <v>858</v>
      </c>
      <c r="R135">
        <v>11.60983286832051</v>
      </c>
      <c r="S135">
        <v>9.1837419778150747E-8</v>
      </c>
      <c r="T135">
        <v>126417237.07358155</v>
      </c>
      <c r="U135">
        <v>11.609832676751008</v>
      </c>
      <c r="V135">
        <v>11.609833059890009</v>
      </c>
    </row>
    <row r="136" spans="1:22" x14ac:dyDescent="0.2">
      <c r="A136" t="s">
        <v>859</v>
      </c>
      <c r="E136" s="10">
        <f>E132/E135</f>
        <v>230.67403000000002</v>
      </c>
      <c r="F136" t="s">
        <v>843</v>
      </c>
      <c r="G136" s="10">
        <f>E136</f>
        <v>230.67403000000002</v>
      </c>
      <c r="H136" t="s">
        <v>843</v>
      </c>
      <c r="L136">
        <v>230.67402623070259</v>
      </c>
      <c r="O136" t="s">
        <v>860</v>
      </c>
      <c r="P136">
        <v>0.99998753024529152</v>
      </c>
      <c r="Q136" s="2" t="s">
        <v>861</v>
      </c>
      <c r="R136">
        <v>2.2002776709666754E-2</v>
      </c>
      <c r="S136">
        <v>2.7363452194542684E-5</v>
      </c>
      <c r="T136">
        <v>804.09359730037818</v>
      </c>
      <c r="U136">
        <v>2.1945697548595093E-2</v>
      </c>
      <c r="V136">
        <v>2.2059855870738415E-2</v>
      </c>
    </row>
    <row r="137" spans="1:22" x14ac:dyDescent="0.2">
      <c r="O137" t="s">
        <v>862</v>
      </c>
      <c r="P137">
        <v>0.17111001251528976</v>
      </c>
      <c r="Q137" s="2" t="s">
        <v>863</v>
      </c>
      <c r="R137">
        <v>-1.1136954486547923</v>
      </c>
      <c r="S137">
        <v>6.0018116082720363E-7</v>
      </c>
      <c r="T137">
        <v>-1855598.8113986021</v>
      </c>
      <c r="U137">
        <v>-1.1136967006107557</v>
      </c>
      <c r="V137">
        <v>-1.113694196698829</v>
      </c>
    </row>
    <row r="138" spans="1:22" x14ac:dyDescent="0.2">
      <c r="A138" s="3" t="s">
        <v>864</v>
      </c>
      <c r="O138" t="s">
        <v>865</v>
      </c>
      <c r="P138">
        <v>253242.33484612688</v>
      </c>
      <c r="Q138" s="2" t="s">
        <v>866</v>
      </c>
      <c r="R138">
        <v>-1.3154143255757434E-3</v>
      </c>
      <c r="S138">
        <v>2.7480228463650732E-6</v>
      </c>
      <c r="T138">
        <v>-478.67663375349957</v>
      </c>
      <c r="U138">
        <v>-1.3211466007857977E-3</v>
      </c>
      <c r="V138">
        <v>-1.3096820503656894E-3</v>
      </c>
    </row>
    <row r="139" spans="1:22" x14ac:dyDescent="0.2">
      <c r="A139" t="s">
        <v>867</v>
      </c>
      <c r="E139" s="17">
        <v>6.8038499999999997</v>
      </c>
      <c r="F139" t="s">
        <v>868</v>
      </c>
      <c r="G139" s="10">
        <f>E139/0.45359</f>
        <v>15</v>
      </c>
      <c r="H139" t="s">
        <v>869</v>
      </c>
      <c r="I139" t="s">
        <v>870</v>
      </c>
      <c r="O139" t="s">
        <v>871</v>
      </c>
      <c r="P139" t="s">
        <v>872</v>
      </c>
      <c r="Q139" s="2" t="s">
        <v>873</v>
      </c>
      <c r="R139">
        <v>0.13947545251861668</v>
      </c>
      <c r="S139">
        <v>1.9985227093290123E-6</v>
      </c>
      <c r="T139">
        <v>69789.27578233245</v>
      </c>
      <c r="U139">
        <v>0.13947128367329628</v>
      </c>
      <c r="V139">
        <v>0.13947962136393707</v>
      </c>
    </row>
    <row r="140" spans="1:22" x14ac:dyDescent="0.2">
      <c r="A140" t="s">
        <v>51</v>
      </c>
      <c r="E140" s="19">
        <f>E139*(E136*0.001)</f>
        <v>1.5694714990155001</v>
      </c>
      <c r="F140" t="s">
        <v>874</v>
      </c>
      <c r="G140" s="19">
        <f>G139*(G136*0.001)</f>
        <v>3.4601104500000006</v>
      </c>
      <c r="H140" t="s">
        <v>875</v>
      </c>
      <c r="L140">
        <v>1.5694714733697659</v>
      </c>
      <c r="O140" t="s">
        <v>876</v>
      </c>
      <c r="P140" t="s">
        <v>1096</v>
      </c>
      <c r="Q140" s="2" t="s">
        <v>877</v>
      </c>
      <c r="R140">
        <v>2.2555679105447939E-5</v>
      </c>
      <c r="S140">
        <v>6.5879046074793471E-7</v>
      </c>
      <c r="T140">
        <v>34.238017168372679</v>
      </c>
      <c r="U140">
        <v>2.1181466284851963E-5</v>
      </c>
      <c r="V140">
        <v>2.3929891926043911E-5</v>
      </c>
    </row>
    <row r="141" spans="1:22" x14ac:dyDescent="0.2">
      <c r="Q141" s="2" t="s">
        <v>878</v>
      </c>
      <c r="R141">
        <v>-7.5887149573464346E-3</v>
      </c>
      <c r="S141">
        <v>1.9085810562317547E-5</v>
      </c>
      <c r="T141">
        <v>-397.61030492094301</v>
      </c>
      <c r="U141">
        <v>-7.6285272605428498E-3</v>
      </c>
      <c r="V141">
        <v>-7.5489026541500194E-3</v>
      </c>
    </row>
    <row r="142" spans="1:22" x14ac:dyDescent="0.2">
      <c r="A142" s="3" t="s">
        <v>1150</v>
      </c>
      <c r="Q142" s="2" t="s">
        <v>879</v>
      </c>
      <c r="R142">
        <v>9.0100227568697605E-9</v>
      </c>
      <c r="S142">
        <v>2.0535155590418438E-9</v>
      </c>
      <c r="T142">
        <v>4.3876087118978413</v>
      </c>
      <c r="U142">
        <v>4.726464362103705E-9</v>
      </c>
      <c r="V142">
        <v>1.3293581151635817E-8</v>
      </c>
    </row>
    <row r="143" spans="1:22" x14ac:dyDescent="0.2">
      <c r="A143" t="s">
        <v>1213</v>
      </c>
      <c r="E143" s="17">
        <v>10</v>
      </c>
      <c r="G143" s="10">
        <f>E143</f>
        <v>10</v>
      </c>
      <c r="I143" t="s">
        <v>881</v>
      </c>
      <c r="Q143" s="2" t="s">
        <v>882</v>
      </c>
      <c r="R143">
        <v>1.2967836582075207E-4</v>
      </c>
      <c r="S143">
        <v>3.20570851908624E-6</v>
      </c>
      <c r="T143">
        <v>40.452325920672223</v>
      </c>
      <c r="U143">
        <v>1.2299137502701682E-4</v>
      </c>
      <c r="V143">
        <v>1.3636535661448734E-4</v>
      </c>
    </row>
    <row r="144" spans="1:22" ht="14.25" x14ac:dyDescent="0.2">
      <c r="A144" t="s">
        <v>883</v>
      </c>
      <c r="E144" s="17">
        <v>7.4009704651234269</v>
      </c>
      <c r="F144" t="s">
        <v>1099</v>
      </c>
      <c r="G144" s="10">
        <f>(E144/0.45359)*(2.54^2)/10^2</f>
        <v>1.0526709374719525</v>
      </c>
      <c r="H144" t="s">
        <v>1100</v>
      </c>
      <c r="O144" s="20"/>
      <c r="P144" s="21"/>
      <c r="Q144" s="21"/>
      <c r="R144" s="22"/>
      <c r="S144" s="22"/>
      <c r="T144" s="22"/>
      <c r="U144" s="22"/>
    </row>
    <row r="145" spans="1:21" ht="14.25" x14ac:dyDescent="0.2">
      <c r="A145" t="s">
        <v>884</v>
      </c>
      <c r="E145" s="19">
        <f>E140/E144</f>
        <v>0.2120629323426608</v>
      </c>
      <c r="F145" t="s">
        <v>1101</v>
      </c>
      <c r="G145" s="23">
        <f>E145*1000/(2.54^3)</f>
        <v>12.94087411525706</v>
      </c>
      <c r="H145" t="s">
        <v>1102</v>
      </c>
      <c r="O145" s="21"/>
      <c r="P145" s="21"/>
      <c r="Q145" s="21"/>
      <c r="R145" s="21"/>
      <c r="S145" s="22"/>
      <c r="T145" s="22"/>
      <c r="U145" s="22"/>
    </row>
    <row r="146" spans="1:21" x14ac:dyDescent="0.2">
      <c r="A146" t="s">
        <v>885</v>
      </c>
      <c r="E146" s="23">
        <f>10*(4*E145/(E143*PI()))^(1/3)</f>
        <v>3.0000255976748198</v>
      </c>
      <c r="F146" t="s">
        <v>834</v>
      </c>
      <c r="G146" s="23">
        <f>E146/2.54</f>
        <v>1.1811124400294566</v>
      </c>
      <c r="H146" t="s">
        <v>835</v>
      </c>
      <c r="O146" s="21"/>
      <c r="P146" s="21"/>
      <c r="Q146" s="21"/>
      <c r="R146" s="21"/>
      <c r="S146" s="24"/>
      <c r="T146" s="24"/>
      <c r="U146" s="24"/>
    </row>
    <row r="147" spans="1:21" x14ac:dyDescent="0.2">
      <c r="A147" t="s">
        <v>886</v>
      </c>
      <c r="E147" s="23">
        <f>E143*E146</f>
        <v>30.0002559767482</v>
      </c>
      <c r="F147" t="s">
        <v>834</v>
      </c>
      <c r="G147" s="23">
        <f>E147/2.54</f>
        <v>11.811124400294567</v>
      </c>
      <c r="H147" t="s">
        <v>835</v>
      </c>
      <c r="O147" s="25"/>
      <c r="P147" s="21"/>
      <c r="Q147" s="25"/>
      <c r="R147" s="26"/>
      <c r="S147" s="24"/>
      <c r="T147" s="24"/>
      <c r="U147" s="24"/>
    </row>
    <row r="148" spans="1:21" ht="14.25" x14ac:dyDescent="0.2">
      <c r="A148" t="s">
        <v>887</v>
      </c>
      <c r="E148" s="23">
        <f>E146*E146*PI()/4</f>
        <v>7.0687040972924038</v>
      </c>
      <c r="F148" t="s">
        <v>1103</v>
      </c>
      <c r="G148" s="23">
        <f>G146*G146*PI()/4</f>
        <v>1.0956513263829752</v>
      </c>
      <c r="H148" t="s">
        <v>1104</v>
      </c>
    </row>
    <row r="149" spans="1:21" ht="14.25" x14ac:dyDescent="0.2">
      <c r="A149" s="3" t="s">
        <v>1151</v>
      </c>
      <c r="E149" s="23">
        <f>0.9*E148</f>
        <v>6.3618336875631636</v>
      </c>
      <c r="F149" t="s">
        <v>1103</v>
      </c>
      <c r="G149" s="23">
        <f>0.9*G148</f>
        <v>0.98608619374467776</v>
      </c>
      <c r="H149" t="s">
        <v>1104</v>
      </c>
      <c r="I149" t="s">
        <v>888</v>
      </c>
    </row>
    <row r="150" spans="1:21" x14ac:dyDescent="0.2">
      <c r="A150" s="3" t="s">
        <v>1216</v>
      </c>
      <c r="E150" s="27"/>
      <c r="F150" s="18"/>
      <c r="G150" s="27"/>
    </row>
    <row r="151" spans="1:21" x14ac:dyDescent="0.2">
      <c r="A151" s="157" t="s">
        <v>954</v>
      </c>
      <c r="B151" s="148"/>
      <c r="C151" s="148"/>
      <c r="D151" s="148"/>
      <c r="E151" s="149">
        <v>3.12</v>
      </c>
      <c r="F151" s="150" t="s">
        <v>834</v>
      </c>
      <c r="G151" s="158">
        <f>E151/2.54</f>
        <v>1.2283464566929134</v>
      </c>
      <c r="H151" s="131" t="s">
        <v>835</v>
      </c>
      <c r="I151" s="27" t="s">
        <v>141</v>
      </c>
    </row>
    <row r="152" spans="1:21" x14ac:dyDescent="0.2">
      <c r="A152" s="146" t="s">
        <v>1125</v>
      </c>
      <c r="B152" s="25"/>
      <c r="C152" s="25"/>
      <c r="D152" s="25"/>
      <c r="E152" s="152">
        <v>3.49</v>
      </c>
      <c r="F152" s="79" t="s">
        <v>834</v>
      </c>
      <c r="G152" s="159">
        <f>E152/2.54</f>
        <v>1.3740157480314961</v>
      </c>
      <c r="H152" s="133" t="s">
        <v>835</v>
      </c>
      <c r="I152" t="s">
        <v>1215</v>
      </c>
    </row>
    <row r="153" spans="1:21" x14ac:dyDescent="0.2">
      <c r="A153" s="146" t="s">
        <v>1214</v>
      </c>
      <c r="B153" s="25"/>
      <c r="C153" s="25"/>
      <c r="D153" s="25"/>
      <c r="E153" s="152">
        <v>31</v>
      </c>
      <c r="F153" s="79" t="s">
        <v>834</v>
      </c>
      <c r="G153" s="159">
        <f>E153/2.54</f>
        <v>12.204724409448819</v>
      </c>
      <c r="H153" s="133" t="s">
        <v>835</v>
      </c>
    </row>
    <row r="154" spans="1:21" x14ac:dyDescent="0.2">
      <c r="A154" s="141" t="s">
        <v>1232</v>
      </c>
      <c r="B154" s="142"/>
      <c r="C154" s="142"/>
      <c r="D154" s="142"/>
      <c r="E154" s="154">
        <f>(E152-E151)/2</f>
        <v>0.18500000000000005</v>
      </c>
      <c r="F154" s="155" t="s">
        <v>834</v>
      </c>
      <c r="G154" s="156">
        <f>E154/2.54</f>
        <v>7.2834645669291362E-2</v>
      </c>
      <c r="H154" s="135" t="s">
        <v>835</v>
      </c>
    </row>
    <row r="155" spans="1:21" x14ac:dyDescent="0.2">
      <c r="A155" s="25"/>
      <c r="B155" s="25"/>
      <c r="C155" s="25"/>
      <c r="D155" s="25"/>
      <c r="E155" s="79"/>
      <c r="F155" s="79"/>
      <c r="G155" s="209"/>
      <c r="H155" s="25"/>
    </row>
    <row r="156" spans="1:21" x14ac:dyDescent="0.2">
      <c r="A156" s="3" t="s">
        <v>49</v>
      </c>
      <c r="E156" s="27"/>
      <c r="F156" s="18"/>
      <c r="G156" s="27"/>
    </row>
    <row r="157" spans="1:21" x14ac:dyDescent="0.2">
      <c r="A157" t="s">
        <v>889</v>
      </c>
      <c r="E157" s="23">
        <f>E147-E146</f>
        <v>27.000230379073379</v>
      </c>
      <c r="F157" t="s">
        <v>834</v>
      </c>
      <c r="G157" s="23">
        <f>G147-G146</f>
        <v>10.63001196026511</v>
      </c>
      <c r="H157" t="s">
        <v>835</v>
      </c>
    </row>
    <row r="158" spans="1:21" x14ac:dyDescent="0.2">
      <c r="E158" s="27"/>
      <c r="F158" s="18"/>
      <c r="G158" s="27"/>
    </row>
    <row r="159" spans="1:21" x14ac:dyDescent="0.2">
      <c r="A159" s="122" t="s">
        <v>890</v>
      </c>
      <c r="B159" s="87"/>
      <c r="C159" s="87"/>
      <c r="D159" s="87"/>
      <c r="E159" s="124"/>
      <c r="F159" s="87"/>
      <c r="G159" s="124"/>
      <c r="H159" s="87"/>
      <c r="I159" s="87"/>
      <c r="J159" s="87"/>
      <c r="K159" s="87"/>
      <c r="L159" s="87"/>
      <c r="M159" s="87"/>
      <c r="P159" t="s">
        <v>1190</v>
      </c>
    </row>
    <row r="160" spans="1:21" x14ac:dyDescent="0.2">
      <c r="A160" t="s">
        <v>891</v>
      </c>
      <c r="E160" s="28">
        <v>56.321519207616348</v>
      </c>
      <c r="F160" s="18" t="s">
        <v>837</v>
      </c>
      <c r="G160" s="29">
        <f>E160</f>
        <v>56.321519207616348</v>
      </c>
      <c r="H160" t="s">
        <v>837</v>
      </c>
      <c r="P160" t="s">
        <v>1191</v>
      </c>
    </row>
    <row r="161" spans="1:19" x14ac:dyDescent="0.2">
      <c r="A161" t="s">
        <v>892</v>
      </c>
      <c r="E161" s="28">
        <v>100</v>
      </c>
      <c r="F161" s="18" t="s">
        <v>893</v>
      </c>
      <c r="G161" s="29">
        <f>E161</f>
        <v>100</v>
      </c>
      <c r="H161" t="s">
        <v>893</v>
      </c>
      <c r="I161" t="s">
        <v>1175</v>
      </c>
      <c r="P161" t="s">
        <v>1010</v>
      </c>
      <c r="R161" t="s">
        <v>852</v>
      </c>
      <c r="S161">
        <v>7909</v>
      </c>
    </row>
    <row r="162" spans="1:19" x14ac:dyDescent="0.2">
      <c r="A162" s="30" t="s">
        <v>894</v>
      </c>
      <c r="E162" s="29">
        <f>E136/E160</f>
        <v>4.0956642016290994</v>
      </c>
      <c r="F162" s="18" t="s">
        <v>895</v>
      </c>
      <c r="G162" s="29">
        <f>E162</f>
        <v>4.0956642016290994</v>
      </c>
      <c r="H162" t="s">
        <v>895</v>
      </c>
      <c r="I162" t="s">
        <v>896</v>
      </c>
      <c r="P162" t="s">
        <v>1182</v>
      </c>
    </row>
    <row r="163" spans="1:19" x14ac:dyDescent="0.2">
      <c r="A163" t="s">
        <v>897</v>
      </c>
      <c r="E163" s="29">
        <f>E160/(PI()*E161*E162)</f>
        <v>4.3772378510776311E-2</v>
      </c>
      <c r="F163" s="18" t="s">
        <v>898</v>
      </c>
      <c r="G163" s="29">
        <f>G160/(PI()*G161*G162)</f>
        <v>4.3772378510776311E-2</v>
      </c>
      <c r="H163" t="s">
        <v>898</v>
      </c>
      <c r="P163" s="130" t="s">
        <v>844</v>
      </c>
      <c r="Q163" s="131" t="s">
        <v>845</v>
      </c>
    </row>
    <row r="164" spans="1:19" x14ac:dyDescent="0.2">
      <c r="E164" s="31"/>
      <c r="F164" s="18"/>
      <c r="G164" s="31"/>
      <c r="P164" s="132" t="s">
        <v>850</v>
      </c>
      <c r="Q164" s="133">
        <v>8.103163113762352E-3</v>
      </c>
    </row>
    <row r="165" spans="1:19" x14ac:dyDescent="0.2">
      <c r="E165" s="31"/>
      <c r="F165" s="18"/>
      <c r="G165" s="31"/>
      <c r="P165" s="132" t="s">
        <v>853</v>
      </c>
      <c r="Q165" s="133">
        <v>-0.34462926854037529</v>
      </c>
    </row>
    <row r="166" spans="1:19" x14ac:dyDescent="0.2">
      <c r="A166" t="s">
        <v>1174</v>
      </c>
      <c r="E166" s="32">
        <f xml:space="preserve"> ($Q$164+$Q$166*E143+$Q$168*E143*E143+$Q$170*E143*E143*E143+$Q$172*E143^4+$Q$174*E143^5)/(1+$Q$165*E143+$Q$167*E143*E143+$Q$169*E143*E143*E143+$Q$171*E143^4+$Q$173*E143^5)</f>
        <v>209.71480529698408</v>
      </c>
      <c r="F166" s="33"/>
      <c r="G166" s="32">
        <f xml:space="preserve"> ($Q$164+$Q$166*G143+$Q$168*G143*G143+$Q$170*G143*G143*G143+$Q$172*G143^4+$Q$174*G143^5)/(1+$Q$165*G143+$Q$167*G143*G143+$Q$169*G143*G143*G143+$Q$171*G143^4+$Q$173*G143^5)</f>
        <v>209.71480529698408</v>
      </c>
      <c r="P166" s="132" t="s">
        <v>858</v>
      </c>
      <c r="Q166" s="133">
        <v>6.6646780511440982</v>
      </c>
    </row>
    <row r="167" spans="1:19" x14ac:dyDescent="0.2">
      <c r="A167" t="s">
        <v>900</v>
      </c>
      <c r="E167" s="16">
        <f>10000*SQRT(E163*E147/(0.9*(E148/2.54)*E166))</f>
        <v>500.00426627913714</v>
      </c>
      <c r="F167" s="34"/>
      <c r="G167" s="16">
        <f>10000*SQRT((G163*G147)/(0.9*G148*G166))</f>
        <v>500.0042662791372</v>
      </c>
      <c r="P167" s="132" t="s">
        <v>861</v>
      </c>
      <c r="Q167" s="133">
        <v>5.1350947397014741E-2</v>
      </c>
    </row>
    <row r="168" spans="1:19" ht="14.25" x14ac:dyDescent="0.2">
      <c r="A168" t="s">
        <v>901</v>
      </c>
      <c r="E168" s="28">
        <v>2.3170000000000002</v>
      </c>
      <c r="F168" s="18" t="s">
        <v>1105</v>
      </c>
      <c r="G168" s="29">
        <f>E168*(25.4)^2</f>
        <v>1494.83572</v>
      </c>
      <c r="H168" t="s">
        <v>1106</v>
      </c>
      <c r="P168" s="132" t="s">
        <v>863</v>
      </c>
      <c r="Q168" s="133">
        <v>-2.0595087169572923</v>
      </c>
    </row>
    <row r="169" spans="1:19" ht="14.25" x14ac:dyDescent="0.2">
      <c r="A169" t="s">
        <v>902</v>
      </c>
      <c r="E169" s="29">
        <f>E162/E168</f>
        <v>1.7676582657009492</v>
      </c>
      <c r="F169" t="s">
        <v>1107</v>
      </c>
      <c r="G169" s="29">
        <f>G162/G168</f>
        <v>2.7398757915880543E-3</v>
      </c>
      <c r="H169" t="s">
        <v>1104</v>
      </c>
      <c r="P169" s="132" t="s">
        <v>866</v>
      </c>
      <c r="Q169" s="133">
        <v>-4.0299264697933367E-3</v>
      </c>
      <c r="R169" t="s">
        <v>1195</v>
      </c>
    </row>
    <row r="170" spans="1:19" x14ac:dyDescent="0.2">
      <c r="A170" t="s">
        <v>903</v>
      </c>
      <c r="E170" s="29">
        <f>SQRT(4*E169/PI())</f>
        <v>1.5002174527275784</v>
      </c>
      <c r="F170" s="18" t="s">
        <v>904</v>
      </c>
      <c r="G170" s="29">
        <f>SQRT(4*G169/PI())</f>
        <v>5.9063679241243242E-2</v>
      </c>
      <c r="H170" t="s">
        <v>835</v>
      </c>
      <c r="N170" s="18"/>
      <c r="P170" s="132" t="s">
        <v>873</v>
      </c>
      <c r="Q170" s="133">
        <v>0.34222426119485005</v>
      </c>
    </row>
    <row r="171" spans="1:19" x14ac:dyDescent="0.2">
      <c r="A171" t="s">
        <v>905</v>
      </c>
      <c r="E171" s="28">
        <v>1.5</v>
      </c>
      <c r="F171" s="18" t="s">
        <v>904</v>
      </c>
      <c r="G171" s="29">
        <f>E171/25.4</f>
        <v>5.9055118110236227E-2</v>
      </c>
      <c r="H171" t="s">
        <v>1186</v>
      </c>
      <c r="I171" s="121">
        <f>18.2054244290934-8.62881347370181*LN(E171)</f>
        <v>14.706741641133712</v>
      </c>
      <c r="J171" t="s">
        <v>1181</v>
      </c>
      <c r="K171" s="126">
        <f>($Q$182+$Q$184*SQRT(E171)+$Q$186*E171+$Q$201*E171*SQRT(E171)+$Q$203*E171*E171+$Q$205*E171*E171*SQRT(E171))/(1+$Q$183*SQRT(E171)+$Q$185*E171+$Q$187*E171*SQRT(E171)+$Q$202*E171*E171+$Q$204*E171*E171*SQRT(E171))</f>
        <v>16.427625726565029</v>
      </c>
      <c r="L171" t="s">
        <v>1194</v>
      </c>
      <c r="N171" s="18"/>
      <c r="P171" s="132" t="s">
        <v>877</v>
      </c>
      <c r="Q171" s="133">
        <v>1.6091340444311558E-4</v>
      </c>
    </row>
    <row r="172" spans="1:19" x14ac:dyDescent="0.2">
      <c r="A172" t="s">
        <v>906</v>
      </c>
      <c r="E172" s="28">
        <v>1.6</v>
      </c>
      <c r="F172" s="18" t="s">
        <v>904</v>
      </c>
      <c r="G172" s="29">
        <f>E172/25.4</f>
        <v>6.2992125984251982E-2</v>
      </c>
      <c r="H172" t="s">
        <v>835</v>
      </c>
      <c r="I172" t="s">
        <v>907</v>
      </c>
      <c r="P172" s="132" t="s">
        <v>878</v>
      </c>
      <c r="Q172" s="133">
        <v>-3.2967531556915383E-2</v>
      </c>
    </row>
    <row r="173" spans="1:19" x14ac:dyDescent="0.2">
      <c r="A173" t="s">
        <v>908</v>
      </c>
      <c r="E173" s="29">
        <f>10/E172</f>
        <v>6.25</v>
      </c>
      <c r="F173" s="18" t="s">
        <v>909</v>
      </c>
      <c r="G173" s="29">
        <f>1/G172</f>
        <v>15.874999999999996</v>
      </c>
      <c r="H173" t="s">
        <v>910</v>
      </c>
      <c r="P173" s="132" t="s">
        <v>879</v>
      </c>
      <c r="Q173" s="133">
        <v>-1.7204994913897629E-6</v>
      </c>
    </row>
    <row r="174" spans="1:19" x14ac:dyDescent="0.2">
      <c r="A174" t="s">
        <v>911</v>
      </c>
      <c r="E174" s="29">
        <f>10/(E172+0.02)</f>
        <v>6.1728395061728394</v>
      </c>
      <c r="F174" s="18" t="s">
        <v>909</v>
      </c>
      <c r="G174" s="28">
        <v>15.679012345679013</v>
      </c>
      <c r="H174" t="s">
        <v>910</v>
      </c>
      <c r="I174" t="s">
        <v>907</v>
      </c>
      <c r="P174" s="134" t="s">
        <v>882</v>
      </c>
      <c r="Q174" s="135">
        <v>1.4687120796037577E-3</v>
      </c>
    </row>
    <row r="175" spans="1:19" x14ac:dyDescent="0.2">
      <c r="A175" t="s">
        <v>912</v>
      </c>
      <c r="C175" s="16">
        <f>E167</f>
        <v>500.00426627913714</v>
      </c>
      <c r="D175" t="s">
        <v>913</v>
      </c>
      <c r="E175" s="29">
        <f>E167/E174</f>
        <v>81.000691137220215</v>
      </c>
      <c r="F175" s="18" t="s">
        <v>834</v>
      </c>
      <c r="G175" s="29">
        <f>G167/G174</f>
        <v>31.890035880795363</v>
      </c>
      <c r="H175" t="s">
        <v>835</v>
      </c>
    </row>
    <row r="176" spans="1:19" x14ac:dyDescent="0.2">
      <c r="P176" t="s">
        <v>1184</v>
      </c>
    </row>
    <row r="177" spans="1:18" x14ac:dyDescent="0.2">
      <c r="A177" t="s">
        <v>914</v>
      </c>
      <c r="E177" s="29">
        <f>E175/E157</f>
        <v>3.0000000000000031</v>
      </c>
      <c r="F177" s="18"/>
      <c r="G177" s="29">
        <f>G175/G157</f>
        <v>3.0000000000000031</v>
      </c>
      <c r="P177" t="s">
        <v>1185</v>
      </c>
    </row>
    <row r="178" spans="1:18" x14ac:dyDescent="0.2">
      <c r="A178" t="s">
        <v>915</v>
      </c>
      <c r="E178" s="28">
        <v>3</v>
      </c>
      <c r="F178" s="18"/>
      <c r="G178" s="29">
        <f>E178</f>
        <v>3</v>
      </c>
      <c r="I178" t="s">
        <v>916</v>
      </c>
      <c r="K178" s="79"/>
      <c r="L178" s="127"/>
      <c r="M178" s="79"/>
      <c r="N178" s="128"/>
      <c r="P178" s="125" t="s">
        <v>1192</v>
      </c>
    </row>
    <row r="179" spans="1:18" x14ac:dyDescent="0.2">
      <c r="A179" t="s">
        <v>917</v>
      </c>
      <c r="E179" s="28">
        <v>26.568000000000001</v>
      </c>
      <c r="F179" s="18" t="s">
        <v>834</v>
      </c>
      <c r="G179" s="29">
        <f>E179/2.54</f>
        <v>10.45984251968504</v>
      </c>
      <c r="H179" t="s">
        <v>835</v>
      </c>
      <c r="K179" s="127"/>
      <c r="L179" s="127"/>
      <c r="M179" s="129"/>
      <c r="N179" s="128"/>
      <c r="P179" t="s">
        <v>1193</v>
      </c>
    </row>
    <row r="180" spans="1:18" x14ac:dyDescent="0.2">
      <c r="A180" t="s">
        <v>918</v>
      </c>
      <c r="E180" s="39">
        <f>E178*E179*E174</f>
        <v>492.00000000000006</v>
      </c>
      <c r="F180" s="220"/>
      <c r="G180" s="39">
        <f>G178*G179*G174</f>
        <v>492.00000000000006</v>
      </c>
      <c r="K180" s="127"/>
      <c r="L180" s="127"/>
      <c r="M180" s="129"/>
      <c r="N180" s="128"/>
      <c r="P180" t="s">
        <v>1183</v>
      </c>
    </row>
    <row r="181" spans="1:18" x14ac:dyDescent="0.2">
      <c r="K181" s="127"/>
      <c r="L181" s="127"/>
      <c r="M181" s="129"/>
      <c r="N181" s="128"/>
      <c r="P181" s="130" t="s">
        <v>844</v>
      </c>
      <c r="Q181" s="131" t="s">
        <v>845</v>
      </c>
    </row>
    <row r="182" spans="1:18" x14ac:dyDescent="0.2">
      <c r="A182" s="147" t="s">
        <v>73</v>
      </c>
      <c r="E182" s="28">
        <v>0.45</v>
      </c>
      <c r="F182" s="18" t="s">
        <v>904</v>
      </c>
      <c r="G182" s="29">
        <f>E182/25.4</f>
        <v>1.7716535433070866E-2</v>
      </c>
      <c r="H182" t="s">
        <v>835</v>
      </c>
      <c r="I182" s="30" t="s">
        <v>74</v>
      </c>
      <c r="K182" s="127"/>
      <c r="L182" s="127"/>
      <c r="M182" s="129"/>
      <c r="N182" s="128"/>
      <c r="P182" s="132" t="s">
        <v>850</v>
      </c>
      <c r="Q182" s="133">
        <v>48.499456691926625</v>
      </c>
    </row>
    <row r="183" spans="1:18" x14ac:dyDescent="0.2">
      <c r="A183" t="s">
        <v>1233</v>
      </c>
      <c r="E183" s="28">
        <v>2.2999999999999998</v>
      </c>
      <c r="F183" s="18" t="s">
        <v>904</v>
      </c>
      <c r="G183" s="29">
        <f>E183/25.4</f>
        <v>9.0551181102362197E-2</v>
      </c>
      <c r="H183" t="s">
        <v>835</v>
      </c>
      <c r="I183" t="s">
        <v>75</v>
      </c>
      <c r="K183" s="127"/>
      <c r="L183" s="127"/>
      <c r="M183" s="129"/>
      <c r="N183" s="128"/>
      <c r="P183" s="132" t="s">
        <v>853</v>
      </c>
      <c r="Q183" s="133">
        <v>-6.7817047817110376</v>
      </c>
    </row>
    <row r="184" spans="1:18" x14ac:dyDescent="0.2">
      <c r="A184" t="s">
        <v>72</v>
      </c>
      <c r="E184" s="29">
        <f>E178*E172</f>
        <v>4.8000000000000007</v>
      </c>
      <c r="F184" s="18" t="s">
        <v>904</v>
      </c>
      <c r="G184" s="29">
        <f>G178*G172</f>
        <v>0.18897637795275596</v>
      </c>
      <c r="H184" t="s">
        <v>835</v>
      </c>
      <c r="K184" s="127"/>
      <c r="L184" s="127"/>
      <c r="M184" s="129"/>
      <c r="N184" s="128"/>
      <c r="P184" s="132" t="s">
        <v>858</v>
      </c>
      <c r="Q184" s="133">
        <v>-302.28512719754991</v>
      </c>
    </row>
    <row r="185" spans="1:18" x14ac:dyDescent="0.2">
      <c r="A185" t="s">
        <v>919</v>
      </c>
      <c r="E185" s="29">
        <f>10*E152+2*(E182+E184)</f>
        <v>45.400000000000006</v>
      </c>
      <c r="F185" s="18" t="s">
        <v>904</v>
      </c>
      <c r="G185" s="29">
        <f>G146+2*(G182+G184)</f>
        <v>1.5944982668011103</v>
      </c>
      <c r="H185" t="s">
        <v>835</v>
      </c>
      <c r="K185" s="127"/>
      <c r="L185" s="127"/>
      <c r="M185" s="129"/>
      <c r="N185" s="128"/>
      <c r="P185" s="132" t="s">
        <v>861</v>
      </c>
      <c r="Q185" s="133">
        <v>23.262370231416252</v>
      </c>
    </row>
    <row r="186" spans="1:18" x14ac:dyDescent="0.2">
      <c r="A186" t="s">
        <v>1229</v>
      </c>
      <c r="E186" s="29">
        <f>E185+2*E183</f>
        <v>50.000000000000007</v>
      </c>
      <c r="F186" s="18" t="s">
        <v>904</v>
      </c>
      <c r="G186" s="29">
        <f>E186/25.4</f>
        <v>1.9685039370078745</v>
      </c>
      <c r="H186" t="s">
        <v>835</v>
      </c>
      <c r="K186" s="127"/>
      <c r="L186" s="127"/>
      <c r="M186" s="129"/>
      <c r="N186" s="128"/>
      <c r="P186" s="132" t="s">
        <v>863</v>
      </c>
      <c r="Q186" s="133">
        <v>901.98895838110639</v>
      </c>
    </row>
    <row r="187" spans="1:18" x14ac:dyDescent="0.2">
      <c r="A187" t="s">
        <v>920</v>
      </c>
      <c r="E187" s="16">
        <f>10*E147</f>
        <v>300.00255976748201</v>
      </c>
      <c r="F187" s="18" t="s">
        <v>904</v>
      </c>
      <c r="G187" s="16">
        <f>G147</f>
        <v>11.811124400294567</v>
      </c>
      <c r="H187" t="s">
        <v>835</v>
      </c>
      <c r="I187" t="s">
        <v>921</v>
      </c>
      <c r="K187" s="127"/>
      <c r="L187" s="127"/>
      <c r="M187" s="129"/>
      <c r="N187" s="128"/>
      <c r="P187" s="132" t="s">
        <v>866</v>
      </c>
      <c r="Q187" s="133">
        <v>-43.445806766984532</v>
      </c>
      <c r="R187" t="s">
        <v>1195</v>
      </c>
    </row>
    <row r="188" spans="1:18" x14ac:dyDescent="0.2">
      <c r="E188" s="34"/>
      <c r="F188" s="18"/>
      <c r="G188" s="34"/>
      <c r="K188" s="127"/>
      <c r="L188" s="127"/>
      <c r="M188" s="129"/>
      <c r="N188" s="128"/>
      <c r="P188" s="132"/>
      <c r="Q188" s="133"/>
    </row>
    <row r="189" spans="1:18" x14ac:dyDescent="0.2">
      <c r="A189" t="s">
        <v>1126</v>
      </c>
      <c r="E189" s="39">
        <f>PI()*(10*E152+E185)/2</f>
        <v>126.13494504163022</v>
      </c>
      <c r="F189" t="s">
        <v>904</v>
      </c>
      <c r="G189" s="10">
        <f>E189/25.4</f>
        <v>4.9659427181744187</v>
      </c>
      <c r="H189" t="s">
        <v>835</v>
      </c>
      <c r="K189" s="127"/>
      <c r="L189" s="127"/>
      <c r="M189" s="129"/>
      <c r="N189" s="128"/>
      <c r="P189" s="132"/>
      <c r="Q189" s="133"/>
    </row>
    <row r="190" spans="1:18" x14ac:dyDescent="0.2">
      <c r="A190" t="s">
        <v>1127</v>
      </c>
      <c r="E190" s="39">
        <f>E189*E180/1000</f>
        <v>62.058392960482074</v>
      </c>
      <c r="F190" t="s">
        <v>980</v>
      </c>
      <c r="G190" s="10">
        <f>E190/0.3048</f>
        <v>203.60365144515114</v>
      </c>
      <c r="H190" t="s">
        <v>1064</v>
      </c>
      <c r="K190" s="127"/>
      <c r="L190" s="127"/>
      <c r="M190" s="129"/>
      <c r="N190" s="128"/>
      <c r="P190" s="132"/>
      <c r="Q190" s="133"/>
    </row>
    <row r="191" spans="1:18" x14ac:dyDescent="0.2">
      <c r="A191" t="s">
        <v>112</v>
      </c>
      <c r="E191" s="225">
        <f>E190*0.01786/(E171^2*PI()/4)</f>
        <v>0.62720509866666696</v>
      </c>
      <c r="F191" t="s">
        <v>965</v>
      </c>
      <c r="G191" s="225">
        <f>E191</f>
        <v>0.62720509866666696</v>
      </c>
      <c r="H191" t="s">
        <v>965</v>
      </c>
      <c r="I191" t="s">
        <v>113</v>
      </c>
      <c r="K191" s="127"/>
      <c r="L191" s="127"/>
      <c r="M191" s="129"/>
      <c r="N191" s="128"/>
      <c r="P191" s="132"/>
      <c r="Q191" s="133"/>
    </row>
    <row r="192" spans="1:18" x14ac:dyDescent="0.2">
      <c r="A192" t="s">
        <v>114</v>
      </c>
      <c r="C192">
        <f>E180</f>
        <v>492.00000000000006</v>
      </c>
      <c r="D192" t="s">
        <v>913</v>
      </c>
      <c r="E192" s="225">
        <f>0.00000001*E180*E180*E148*E166/(2.54*E147)</f>
        <v>4.7091272075558743E-2</v>
      </c>
      <c r="F192" t="s">
        <v>898</v>
      </c>
      <c r="G192" s="225">
        <f>0.00000001*G180*G180*G148*G166/G147</f>
        <v>4.7091272075558743E-2</v>
      </c>
      <c r="H192" t="s">
        <v>898</v>
      </c>
      <c r="K192" s="127"/>
      <c r="L192" s="127"/>
      <c r="M192" s="129"/>
      <c r="N192" s="128"/>
      <c r="P192" s="132"/>
      <c r="Q192" s="133"/>
    </row>
    <row r="193" spans="1:28" x14ac:dyDescent="0.2">
      <c r="A193" t="s">
        <v>93</v>
      </c>
      <c r="E193" s="19">
        <f>10*E190*(0.01*E172)^2*PI()*8.93/4</f>
        <v>1.1142479163935195</v>
      </c>
      <c r="F193" t="s">
        <v>874</v>
      </c>
      <c r="G193" s="10">
        <f>E193/0.45359</f>
        <v>2.4565089979794958</v>
      </c>
      <c r="H193" t="s">
        <v>94</v>
      </c>
      <c r="K193" s="127"/>
      <c r="L193" s="127"/>
      <c r="M193" s="129"/>
      <c r="N193" s="128"/>
      <c r="P193" s="132"/>
      <c r="Q193" s="133"/>
    </row>
    <row r="194" spans="1:28" x14ac:dyDescent="0.2">
      <c r="E194" s="34"/>
      <c r="F194" s="18"/>
      <c r="G194" s="34"/>
      <c r="K194" s="127"/>
      <c r="L194" s="127"/>
      <c r="M194" s="129"/>
      <c r="N194" s="128"/>
      <c r="P194" s="132"/>
      <c r="Q194" s="133"/>
    </row>
    <row r="195" spans="1:28" x14ac:dyDescent="0.2">
      <c r="A195" s="3" t="s">
        <v>1228</v>
      </c>
      <c r="K195" s="127"/>
      <c r="L195" s="127"/>
      <c r="M195" s="129"/>
      <c r="N195" s="128"/>
      <c r="P195" s="132"/>
      <c r="Q195" s="133"/>
    </row>
    <row r="196" spans="1:28" x14ac:dyDescent="0.2">
      <c r="A196" s="130" t="s">
        <v>1230</v>
      </c>
      <c r="B196" s="148"/>
      <c r="C196" s="148"/>
      <c r="D196" s="148"/>
      <c r="E196" s="149">
        <v>45.4</v>
      </c>
      <c r="F196" s="150" t="s">
        <v>904</v>
      </c>
      <c r="G196" s="151">
        <f>E196/25.4</f>
        <v>1.7874015748031495</v>
      </c>
      <c r="H196" s="131" t="s">
        <v>835</v>
      </c>
      <c r="K196" s="127"/>
      <c r="L196" s="127"/>
      <c r="M196" s="129"/>
      <c r="N196" s="128"/>
      <c r="P196" s="132"/>
      <c r="Q196" s="133"/>
    </row>
    <row r="197" spans="1:28" x14ac:dyDescent="0.2">
      <c r="A197" s="144" t="s">
        <v>1231</v>
      </c>
      <c r="B197" s="25"/>
      <c r="C197" s="25"/>
      <c r="D197" s="25"/>
      <c r="E197" s="152">
        <v>70</v>
      </c>
      <c r="F197" s="79" t="s">
        <v>904</v>
      </c>
      <c r="G197" s="153">
        <f>E197/25.4</f>
        <v>2.7559055118110236</v>
      </c>
      <c r="H197" s="133" t="s">
        <v>835</v>
      </c>
      <c r="I197" t="s">
        <v>1219</v>
      </c>
      <c r="K197" s="127"/>
      <c r="L197" s="127"/>
      <c r="M197" s="129"/>
      <c r="N197" s="128"/>
      <c r="P197" s="132"/>
      <c r="Q197" s="133"/>
    </row>
    <row r="198" spans="1:28" x14ac:dyDescent="0.2">
      <c r="A198" s="144" t="s">
        <v>1218</v>
      </c>
      <c r="B198" s="25"/>
      <c r="C198" s="25"/>
      <c r="D198" s="25"/>
      <c r="E198" s="152">
        <v>310</v>
      </c>
      <c r="F198" s="79" t="s">
        <v>904</v>
      </c>
      <c r="G198" s="153">
        <f>E198/25.4</f>
        <v>12.20472440944882</v>
      </c>
      <c r="H198" s="133" t="s">
        <v>835</v>
      </c>
      <c r="K198" s="127"/>
      <c r="L198" s="127"/>
      <c r="M198" s="129"/>
      <c r="N198" s="128"/>
      <c r="P198" s="132"/>
      <c r="Q198" s="133"/>
    </row>
    <row r="199" spans="1:28" x14ac:dyDescent="0.2">
      <c r="A199" s="141" t="s">
        <v>1232</v>
      </c>
      <c r="B199" s="142"/>
      <c r="C199" s="142"/>
      <c r="D199" s="142"/>
      <c r="E199" s="154">
        <f>(E197-E196)/2</f>
        <v>12.3</v>
      </c>
      <c r="F199" s="155" t="s">
        <v>904</v>
      </c>
      <c r="G199" s="156">
        <f>E199/25.4</f>
        <v>0.48425196850393704</v>
      </c>
      <c r="H199" s="135" t="s">
        <v>835</v>
      </c>
      <c r="K199" s="127"/>
      <c r="L199" s="127"/>
      <c r="M199" s="129"/>
      <c r="N199" s="128"/>
      <c r="P199" s="132"/>
      <c r="Q199" s="133"/>
    </row>
    <row r="200" spans="1:28" x14ac:dyDescent="0.2">
      <c r="E200" s="34"/>
      <c r="F200" s="18"/>
      <c r="G200" s="34"/>
      <c r="K200" s="127"/>
      <c r="L200" s="127"/>
      <c r="M200" s="129"/>
      <c r="N200" s="128"/>
      <c r="P200" s="132"/>
      <c r="Q200" s="133"/>
    </row>
    <row r="201" spans="1:28" x14ac:dyDescent="0.2">
      <c r="A201" s="122" t="s">
        <v>922</v>
      </c>
      <c r="B201" s="87"/>
      <c r="C201" s="87"/>
      <c r="D201" s="87"/>
      <c r="E201" s="123"/>
      <c r="F201" s="87"/>
      <c r="G201" s="123"/>
      <c r="H201" s="87"/>
      <c r="I201" s="87"/>
      <c r="J201" s="87"/>
      <c r="K201" s="87"/>
      <c r="L201" s="87"/>
      <c r="M201" s="87"/>
      <c r="N201" s="128"/>
      <c r="P201" s="132" t="s">
        <v>873</v>
      </c>
      <c r="Q201" s="133">
        <v>-1608.0731090483487</v>
      </c>
    </row>
    <row r="202" spans="1:28" x14ac:dyDescent="0.2">
      <c r="A202" s="3"/>
      <c r="E202" s="31"/>
      <c r="F202" s="18"/>
      <c r="G202" s="31"/>
      <c r="K202" s="127"/>
      <c r="L202" s="127"/>
      <c r="M202" s="129"/>
      <c r="N202" s="128"/>
      <c r="P202" s="132" t="s">
        <v>877</v>
      </c>
      <c r="Q202" s="133">
        <v>32.747527154612811</v>
      </c>
    </row>
    <row r="203" spans="1:28" x14ac:dyDescent="0.2">
      <c r="A203" s="36" t="s">
        <v>940</v>
      </c>
      <c r="E203" s="31"/>
      <c r="F203" s="18"/>
      <c r="G203" s="31"/>
      <c r="K203" s="127"/>
      <c r="L203" s="127"/>
      <c r="M203" s="129"/>
      <c r="N203" s="128"/>
      <c r="P203" s="132" t="s">
        <v>878</v>
      </c>
      <c r="Q203" s="133">
        <v>1473.6216622650322</v>
      </c>
    </row>
    <row r="204" spans="1:28" ht="15.75" x14ac:dyDescent="0.3">
      <c r="A204" s="37" t="s">
        <v>941</v>
      </c>
      <c r="E204" s="28">
        <v>56.32</v>
      </c>
      <c r="F204" s="18" t="s">
        <v>942</v>
      </c>
      <c r="G204" s="31"/>
      <c r="I204" s="37" t="s">
        <v>1110</v>
      </c>
      <c r="K204" s="127"/>
      <c r="L204" s="127"/>
      <c r="M204" s="129"/>
      <c r="N204" s="128"/>
      <c r="P204" s="132" t="s">
        <v>879</v>
      </c>
      <c r="Q204" s="133">
        <v>1.5143150437090254</v>
      </c>
    </row>
    <row r="205" spans="1:28" ht="15.75" x14ac:dyDescent="0.3">
      <c r="A205" s="37" t="s">
        <v>943</v>
      </c>
      <c r="E205" s="38">
        <f xml:space="preserve"> 1 / (SQRT(2)*PI() * E161* (E219 * E149) * 0.00000001)</f>
        <v>3.8042495755287402</v>
      </c>
      <c r="F205" t="s">
        <v>1111</v>
      </c>
      <c r="H205" s="117">
        <f>E149</f>
        <v>6.3618336875631636</v>
      </c>
      <c r="I205" s="37" t="s">
        <v>1112</v>
      </c>
      <c r="K205" s="127"/>
      <c r="L205" s="127"/>
      <c r="M205" s="129"/>
      <c r="N205" s="128"/>
      <c r="P205" s="134" t="s">
        <v>882</v>
      </c>
      <c r="Q205" s="135">
        <v>-352.61428696897144</v>
      </c>
    </row>
    <row r="206" spans="1:28" ht="15.75" x14ac:dyDescent="0.3">
      <c r="A206" s="37" t="s">
        <v>944</v>
      </c>
      <c r="E206" s="16">
        <f>E204 / (SQRT(2)*PI() * E161* (E219 * E149) * 0.00000001)</f>
        <v>214.25533609377865</v>
      </c>
      <c r="F206" s="18" t="s">
        <v>913</v>
      </c>
      <c r="G206" s="31"/>
      <c r="H206" s="119" t="s">
        <v>1176</v>
      </c>
      <c r="I206" s="37" t="s">
        <v>1113</v>
      </c>
      <c r="T206" s="36" t="s">
        <v>290</v>
      </c>
    </row>
    <row r="207" spans="1:28" ht="15.75" x14ac:dyDescent="0.3">
      <c r="A207" s="37" t="s">
        <v>945</v>
      </c>
      <c r="E207" s="29">
        <f>E136</f>
        <v>230.67403000000002</v>
      </c>
      <c r="F207" s="18" t="s">
        <v>843</v>
      </c>
      <c r="G207" s="29">
        <f>G136</f>
        <v>230.67403000000002</v>
      </c>
      <c r="H207" t="s">
        <v>843</v>
      </c>
      <c r="I207" s="37" t="s">
        <v>1114</v>
      </c>
      <c r="J207" s="37"/>
      <c r="K207" s="37"/>
      <c r="L207" s="37"/>
      <c r="M207" s="37" t="s">
        <v>946</v>
      </c>
      <c r="Q207" s="37" t="s">
        <v>271</v>
      </c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 spans="1:28" ht="15.75" x14ac:dyDescent="0.3">
      <c r="A208" s="37" t="s">
        <v>947</v>
      </c>
      <c r="E208" s="16">
        <f xml:space="preserve"> E207 / (SQRT(2)*PI() * E161* (E219 * E149) * E162* 0.00000001)</f>
        <v>214.26111553870831</v>
      </c>
      <c r="F208" s="18" t="s">
        <v>913</v>
      </c>
      <c r="G208" s="16">
        <f xml:space="preserve"> G207 / (SQRT(2)*PI() * G161* (G219 * G149) * G162* 0.00000001)</f>
        <v>214.26111553870831</v>
      </c>
      <c r="H208" s="18" t="s">
        <v>913</v>
      </c>
      <c r="I208" s="37" t="s">
        <v>1115</v>
      </c>
      <c r="J208" s="37"/>
      <c r="K208" s="37"/>
      <c r="L208" s="37"/>
      <c r="M208" s="37" t="s">
        <v>1116</v>
      </c>
      <c r="Q208" s="37"/>
      <c r="R208" s="37"/>
      <c r="S208" s="37"/>
      <c r="T208" s="37"/>
      <c r="U208" s="37"/>
      <c r="V208" s="119" t="s">
        <v>273</v>
      </c>
      <c r="W208" s="37">
        <v>230</v>
      </c>
      <c r="X208" s="37"/>
      <c r="Y208" s="37"/>
      <c r="Z208" s="37"/>
      <c r="AA208" s="37"/>
      <c r="AB208" s="37"/>
    </row>
    <row r="209" spans="1:28" ht="15.75" x14ac:dyDescent="0.3">
      <c r="A209" s="37" t="s">
        <v>948</v>
      </c>
      <c r="E209" s="39">
        <f xml:space="preserve"> E207 / (SQRT(2)*PI() * E161 * E219  * (E167 * E162) * 0.00000001)</f>
        <v>2.7261639043856563</v>
      </c>
      <c r="F209" t="s">
        <v>1103</v>
      </c>
      <c r="G209" s="23">
        <f xml:space="preserve"> G207 / (SQRT(2)*PI() * G161 * G219  * (G167 * G162) * 0.00000001)</f>
        <v>0.42255625029227722</v>
      </c>
      <c r="H209" t="s">
        <v>1104</v>
      </c>
      <c r="I209" s="37" t="s">
        <v>1117</v>
      </c>
      <c r="J209" s="37"/>
      <c r="K209" s="37"/>
      <c r="L209" s="37"/>
      <c r="M209" s="37" t="s">
        <v>949</v>
      </c>
      <c r="O209" s="118">
        <f>E167</f>
        <v>500.00426627913714</v>
      </c>
      <c r="Q209" s="37" t="s">
        <v>272</v>
      </c>
      <c r="R209" s="37"/>
      <c r="S209" s="37"/>
      <c r="T209" s="37"/>
      <c r="U209" s="37"/>
      <c r="V209" s="119" t="s">
        <v>274</v>
      </c>
      <c r="W209" s="37">
        <f>0.16*SQRT(230)</f>
        <v>2.4265201420964964</v>
      </c>
      <c r="X209" s="37" t="s">
        <v>1000</v>
      </c>
      <c r="Y209" s="119" t="s">
        <v>275</v>
      </c>
      <c r="Z209" s="37">
        <f>SQRT(4*W209/PI())</f>
        <v>1.7577091343603028</v>
      </c>
      <c r="AA209" s="37" t="s">
        <v>289</v>
      </c>
    </row>
    <row r="210" spans="1:28" ht="15.75" x14ac:dyDescent="0.3">
      <c r="A210" s="37" t="s">
        <v>948</v>
      </c>
      <c r="E210" s="39">
        <f>E207 / (SQRT(2)*PI() * E161 * E219  * (E208 * E162) * 0.00000001)</f>
        <v>6.3618336875631636</v>
      </c>
      <c r="F210" t="s">
        <v>1103</v>
      </c>
      <c r="G210" s="23">
        <f>G207 / (SQRT(2)*PI() * G161 * G219  * (G208 * G162) * 0.00000001)</f>
        <v>0.98608619374467787</v>
      </c>
      <c r="H210" t="s">
        <v>1104</v>
      </c>
      <c r="I210" s="37" t="s">
        <v>1117</v>
      </c>
      <c r="J210" s="37"/>
      <c r="K210" s="37"/>
      <c r="L210" s="37"/>
      <c r="M210" s="37" t="s">
        <v>949</v>
      </c>
      <c r="O210" s="118">
        <f>E208</f>
        <v>214.26111553870831</v>
      </c>
      <c r="Q210" s="37" t="s">
        <v>276</v>
      </c>
      <c r="R210" s="37"/>
      <c r="S210" s="37"/>
      <c r="T210" s="37"/>
      <c r="U210" s="37"/>
      <c r="V210" s="119" t="s">
        <v>277</v>
      </c>
      <c r="W210" s="37">
        <f>5/W209</f>
        <v>2.0605639793618344</v>
      </c>
      <c r="X210" s="37" t="s">
        <v>278</v>
      </c>
      <c r="Y210" s="119" t="s">
        <v>275</v>
      </c>
      <c r="Z210" s="37">
        <f>25.4*Z209</f>
        <v>44.645812012751691</v>
      </c>
      <c r="AA210" s="37" t="s">
        <v>904</v>
      </c>
    </row>
    <row r="211" spans="1:28" x14ac:dyDescent="0.2"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x14ac:dyDescent="0.2">
      <c r="E212" s="31"/>
      <c r="F212" s="18"/>
      <c r="G212" s="31"/>
      <c r="Q212" s="37" t="s">
        <v>279</v>
      </c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x14ac:dyDescent="0.2">
      <c r="A213" s="3" t="s">
        <v>923</v>
      </c>
      <c r="E213" s="27"/>
      <c r="F213" s="18"/>
      <c r="G213" s="27"/>
      <c r="Q213" s="37"/>
      <c r="R213" s="37"/>
      <c r="S213" s="37"/>
      <c r="T213" s="37"/>
      <c r="U213" s="37"/>
      <c r="V213" s="37"/>
      <c r="W213" s="263" t="s">
        <v>280</v>
      </c>
      <c r="X213" s="263" t="s">
        <v>281</v>
      </c>
      <c r="Z213" s="37"/>
      <c r="AB213" s="37"/>
    </row>
    <row r="214" spans="1:28" x14ac:dyDescent="0.2">
      <c r="A214" t="s">
        <v>924</v>
      </c>
      <c r="E214" s="23">
        <f>0.8*E157</f>
        <v>21.600184303258704</v>
      </c>
      <c r="F214" t="s">
        <v>834</v>
      </c>
      <c r="G214" s="23">
        <f>0.8*G157</f>
        <v>8.5040095682120889</v>
      </c>
      <c r="H214" t="s">
        <v>835</v>
      </c>
      <c r="Q214" s="37" t="s">
        <v>282</v>
      </c>
      <c r="R214" s="37"/>
      <c r="S214" s="37"/>
      <c r="T214" s="37"/>
      <c r="U214" s="37">
        <f>SQRT(2)*PI()</f>
        <v>4.4428829381583661</v>
      </c>
      <c r="V214" s="37"/>
      <c r="W214" s="37">
        <f>4.44*60*W209*75000*2.06564*0.00000001</f>
        <v>1.0014609498507776</v>
      </c>
      <c r="X214" s="37">
        <f>4.44*50*W209*75000*2.06564*0.00000001</f>
        <v>0.8345507915423146</v>
      </c>
      <c r="Y214" s="37" t="s">
        <v>837</v>
      </c>
      <c r="AB214" s="37"/>
    </row>
    <row r="215" spans="1:28" x14ac:dyDescent="0.2"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 spans="1:28" x14ac:dyDescent="0.2">
      <c r="A216" s="122" t="s">
        <v>925</v>
      </c>
      <c r="B216" s="87"/>
      <c r="C216" s="87"/>
      <c r="D216" s="87"/>
      <c r="E216" s="123"/>
      <c r="F216" s="87"/>
      <c r="G216" s="123"/>
      <c r="H216" s="87"/>
      <c r="I216" s="87"/>
      <c r="J216" s="87"/>
      <c r="K216" s="87"/>
      <c r="L216" s="87"/>
      <c r="M216" s="87"/>
      <c r="Q216" s="37" t="s">
        <v>283</v>
      </c>
      <c r="R216" s="37" t="s">
        <v>284</v>
      </c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 spans="1:28" x14ac:dyDescent="0.2">
      <c r="A217" t="s">
        <v>926</v>
      </c>
      <c r="E217" s="28">
        <v>96.333178031544691</v>
      </c>
      <c r="F217" s="18"/>
      <c r="G217" s="29">
        <f>E217</f>
        <v>96.333178031544691</v>
      </c>
      <c r="I217" t="s">
        <v>927</v>
      </c>
      <c r="Q217" s="37"/>
      <c r="R217" s="37" t="s">
        <v>285</v>
      </c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 spans="1:28" ht="14.25" x14ac:dyDescent="0.2">
      <c r="A218" t="s">
        <v>928</v>
      </c>
      <c r="E218" s="16">
        <f>G218/2.54</f>
        <v>4816.7</v>
      </c>
      <c r="F218" t="s">
        <v>1189</v>
      </c>
      <c r="G218" s="28">
        <v>12234.418</v>
      </c>
      <c r="H218" t="s">
        <v>1188</v>
      </c>
      <c r="I218" t="s">
        <v>929</v>
      </c>
      <c r="Q218" s="37"/>
      <c r="R218" s="37" t="s">
        <v>286</v>
      </c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 spans="1:28" ht="14.25" x14ac:dyDescent="0.2">
      <c r="A219" t="s">
        <v>930</v>
      </c>
      <c r="E219" s="16">
        <f>G219/(2.54*2.54)</f>
        <v>9300.0186000371996</v>
      </c>
      <c r="F219" s="18" t="s">
        <v>931</v>
      </c>
      <c r="G219" s="28">
        <v>60000</v>
      </c>
      <c r="H219" t="s">
        <v>1108</v>
      </c>
      <c r="I219" t="s">
        <v>932</v>
      </c>
      <c r="Q219" s="37"/>
      <c r="R219" s="37" t="s">
        <v>287</v>
      </c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 spans="1:28" x14ac:dyDescent="0.2">
      <c r="A220" t="s">
        <v>1109</v>
      </c>
      <c r="E220" s="16">
        <f>E219*E149</f>
        <v>59165.171624680668</v>
      </c>
      <c r="F220" s="18" t="s">
        <v>933</v>
      </c>
      <c r="G220" s="16">
        <f>G219*G149</f>
        <v>59165.171624680668</v>
      </c>
      <c r="H220" t="s">
        <v>934</v>
      </c>
      <c r="Q220" s="37"/>
      <c r="R220" s="37" t="s">
        <v>288</v>
      </c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 spans="1:28" x14ac:dyDescent="0.2">
      <c r="E221" s="31"/>
      <c r="F221" s="18"/>
      <c r="G221" s="31"/>
    </row>
    <row r="222" spans="1:28" x14ac:dyDescent="0.2">
      <c r="A222" t="s">
        <v>935</v>
      </c>
      <c r="E222" s="16">
        <f>E217*E167</f>
        <v>48166.999999999993</v>
      </c>
      <c r="F222" s="18" t="s">
        <v>913</v>
      </c>
      <c r="G222" s="16">
        <f>G217*G167</f>
        <v>48167</v>
      </c>
      <c r="H222" s="18" t="s">
        <v>913</v>
      </c>
    </row>
    <row r="223" spans="1:28" x14ac:dyDescent="0.2">
      <c r="A223" t="s">
        <v>936</v>
      </c>
      <c r="E223" s="16">
        <f>E218*E129</f>
        <v>48167</v>
      </c>
      <c r="F223" s="18" t="s">
        <v>913</v>
      </c>
      <c r="G223" s="16">
        <f>G218*G129</f>
        <v>48167</v>
      </c>
      <c r="H223" s="18" t="s">
        <v>913</v>
      </c>
      <c r="I223" t="s">
        <v>937</v>
      </c>
    </row>
    <row r="224" spans="1:28" x14ac:dyDescent="0.2">
      <c r="E224" s="31"/>
      <c r="F224" s="18"/>
      <c r="G224" s="31"/>
    </row>
    <row r="225" spans="1:15" x14ac:dyDescent="0.2">
      <c r="A225" t="s">
        <v>938</v>
      </c>
      <c r="E225" s="29">
        <f>E130/E217</f>
        <v>781.19420351167423</v>
      </c>
      <c r="F225" s="18" t="s">
        <v>837</v>
      </c>
      <c r="G225" s="29">
        <f>G130/G217</f>
        <v>781.19420351167423</v>
      </c>
      <c r="H225" t="s">
        <v>837</v>
      </c>
      <c r="I225" t="s">
        <v>939</v>
      </c>
    </row>
    <row r="226" spans="1:15" x14ac:dyDescent="0.2">
      <c r="E226" s="31"/>
      <c r="F226" s="18"/>
      <c r="G226" s="31"/>
    </row>
    <row r="227" spans="1:15" x14ac:dyDescent="0.2">
      <c r="E227" s="31"/>
      <c r="F227" s="18"/>
      <c r="G227" s="31"/>
    </row>
    <row r="228" spans="1:15" x14ac:dyDescent="0.2">
      <c r="B228" s="40" t="s">
        <v>950</v>
      </c>
    </row>
    <row r="230" spans="1:15" x14ac:dyDescent="0.2">
      <c r="A230" t="s">
        <v>952</v>
      </c>
      <c r="E230" s="16">
        <f>E222</f>
        <v>48166.999999999993</v>
      </c>
      <c r="F230" t="s">
        <v>913</v>
      </c>
    </row>
    <row r="231" spans="1:15" x14ac:dyDescent="0.2">
      <c r="A231" t="s">
        <v>954</v>
      </c>
      <c r="E231" s="23">
        <f>E197</f>
        <v>70</v>
      </c>
      <c r="F231" t="s">
        <v>904</v>
      </c>
      <c r="G231" s="23">
        <f t="shared" ref="G231:G238" si="1">E231/25.4</f>
        <v>2.7559055118110236</v>
      </c>
      <c r="H231" t="s">
        <v>835</v>
      </c>
    </row>
    <row r="232" spans="1:15" x14ac:dyDescent="0.2">
      <c r="A232" t="s">
        <v>776</v>
      </c>
      <c r="D232" s="10">
        <f>E214*10</f>
        <v>216.00184303258703</v>
      </c>
      <c r="E232" s="17">
        <v>235</v>
      </c>
      <c r="F232" t="s">
        <v>766</v>
      </c>
      <c r="G232" s="23">
        <f t="shared" si="1"/>
        <v>9.2519685039370092</v>
      </c>
      <c r="H232" t="s">
        <v>835</v>
      </c>
      <c r="M232">
        <f>E235+E236</f>
        <v>0.36</v>
      </c>
    </row>
    <row r="233" spans="1:15" x14ac:dyDescent="0.2">
      <c r="A233" t="s">
        <v>958</v>
      </c>
      <c r="E233" s="17">
        <v>235</v>
      </c>
      <c r="F233" t="s">
        <v>904</v>
      </c>
      <c r="G233" s="23">
        <f t="shared" si="1"/>
        <v>9.2519685039370092</v>
      </c>
      <c r="H233" t="s">
        <v>835</v>
      </c>
      <c r="M233">
        <v>0.39623999999999998</v>
      </c>
    </row>
    <row r="234" spans="1:15" x14ac:dyDescent="0.2">
      <c r="A234" t="s">
        <v>960</v>
      </c>
      <c r="E234" s="10">
        <f>(E232+E233)/2</f>
        <v>235</v>
      </c>
      <c r="F234" t="s">
        <v>904</v>
      </c>
      <c r="G234" s="23">
        <f t="shared" si="1"/>
        <v>9.2519685039370092</v>
      </c>
      <c r="H234" t="s">
        <v>835</v>
      </c>
      <c r="O234" s="18"/>
    </row>
    <row r="235" spans="1:15" x14ac:dyDescent="0.2">
      <c r="A235" t="s">
        <v>961</v>
      </c>
      <c r="E235" s="17">
        <v>0.16</v>
      </c>
      <c r="F235" t="s">
        <v>904</v>
      </c>
      <c r="G235" s="29">
        <f t="shared" si="1"/>
        <v>6.2992125984251976E-3</v>
      </c>
      <c r="H235" t="s">
        <v>1186</v>
      </c>
      <c r="I235" s="121">
        <f>18.2054244290934-8.62881347370181*LN(E235)</f>
        <v>34.018428055141001</v>
      </c>
      <c r="J235" t="s">
        <v>1181</v>
      </c>
      <c r="K235" s="126">
        <f>($Q$182+$Q$184*SQRT(E235)+$Q$186*E235+$Q$201*E235*SQRT(E235)+$Q$203*E235*E235+$Q$205*E235*E235*SQRT(E235))/(1+$Q$183*SQRT(E235)+$Q$185*E235+$Q$187*E235*SQRT(E235)+$Q$202*E235*E235+$Q$204*E235*E235*SQRT(E235))</f>
        <v>37.537138374185183</v>
      </c>
      <c r="L235" t="s">
        <v>1187</v>
      </c>
      <c r="O235" s="18"/>
    </row>
    <row r="236" spans="1:15" x14ac:dyDescent="0.2">
      <c r="A236" s="144" t="s">
        <v>1227</v>
      </c>
      <c r="E236" s="233">
        <v>0.2</v>
      </c>
      <c r="F236" t="s">
        <v>904</v>
      </c>
      <c r="G236" s="29">
        <f t="shared" si="1"/>
        <v>7.8740157480314977E-3</v>
      </c>
      <c r="H236" t="s">
        <v>835</v>
      </c>
    </row>
    <row r="237" spans="1:15" x14ac:dyDescent="0.2">
      <c r="A237" t="s">
        <v>963</v>
      </c>
      <c r="E237" s="17">
        <v>0.13277408637873733</v>
      </c>
      <c r="F237" t="s">
        <v>904</v>
      </c>
      <c r="G237" s="29">
        <f t="shared" si="1"/>
        <v>5.2273262353833595E-3</v>
      </c>
      <c r="H237" t="s">
        <v>835</v>
      </c>
    </row>
    <row r="238" spans="1:15" x14ac:dyDescent="0.2">
      <c r="A238" t="s">
        <v>964</v>
      </c>
      <c r="E238" s="17">
        <v>0</v>
      </c>
      <c r="F238" t="s">
        <v>904</v>
      </c>
      <c r="G238" s="29">
        <f t="shared" si="1"/>
        <v>0</v>
      </c>
      <c r="H238" t="s">
        <v>835</v>
      </c>
      <c r="I238" s="40" t="s">
        <v>951</v>
      </c>
    </row>
    <row r="239" spans="1:15" x14ac:dyDescent="0.2">
      <c r="A239" s="147" t="s">
        <v>131</v>
      </c>
      <c r="E239" s="23">
        <f>(E245-1)*(E237+E238)</f>
        <v>5.3100594613698933</v>
      </c>
      <c r="F239" t="s">
        <v>904</v>
      </c>
    </row>
    <row r="240" spans="1:15" x14ac:dyDescent="0.2">
      <c r="A240" t="s">
        <v>967</v>
      </c>
      <c r="E240" s="16">
        <f>E232/E236</f>
        <v>1175</v>
      </c>
      <c r="F240" t="s">
        <v>913</v>
      </c>
      <c r="I240" t="s">
        <v>953</v>
      </c>
      <c r="M240" s="10">
        <f>E230</f>
        <v>48166.999999999993</v>
      </c>
      <c r="N240" t="s">
        <v>913</v>
      </c>
    </row>
    <row r="241" spans="1:14" x14ac:dyDescent="0.2">
      <c r="A241" t="s">
        <v>969</v>
      </c>
      <c r="E241" s="16">
        <f>E234/E236</f>
        <v>1175</v>
      </c>
      <c r="F241" t="s">
        <v>913</v>
      </c>
      <c r="I241" s="41" t="s">
        <v>955</v>
      </c>
      <c r="M241" s="23">
        <f>(E231+E246)/(2*25.4)</f>
        <v>3.2284151254349016</v>
      </c>
      <c r="N241" t="s">
        <v>835</v>
      </c>
    </row>
    <row r="242" spans="1:14" x14ac:dyDescent="0.2">
      <c r="A242" t="s">
        <v>972</v>
      </c>
      <c r="E242" s="16">
        <f>E233/E236</f>
        <v>1175</v>
      </c>
      <c r="F242" t="s">
        <v>913</v>
      </c>
      <c r="I242" s="41" t="s">
        <v>957</v>
      </c>
      <c r="M242" s="23">
        <f>E241*E236/25.4</f>
        <v>9.2519685039370092</v>
      </c>
      <c r="N242" t="s">
        <v>835</v>
      </c>
    </row>
    <row r="243" spans="1:14" x14ac:dyDescent="0.2">
      <c r="A243" t="s">
        <v>973</v>
      </c>
      <c r="E243" s="23">
        <f>((E240-E242)/E245)</f>
        <v>0</v>
      </c>
      <c r="F243" t="s">
        <v>913</v>
      </c>
      <c r="I243" t="s">
        <v>959</v>
      </c>
      <c r="M243" s="23">
        <f>E245*(E235+E238+E237)/25.4</f>
        <v>0.47250961362387811</v>
      </c>
      <c r="N243" t="s">
        <v>835</v>
      </c>
    </row>
    <row r="244" spans="1:14" ht="15.75" x14ac:dyDescent="0.3">
      <c r="I244" t="s">
        <v>1118</v>
      </c>
      <c r="M244" s="39">
        <f>0.000001*(0.2*M241^2*M240^2)/(3*M241+9*M242+10*M243)</f>
        <v>49.512051491478267</v>
      </c>
      <c r="N244" t="s">
        <v>898</v>
      </c>
    </row>
    <row r="245" spans="1:14" x14ac:dyDescent="0.2">
      <c r="A245" t="s">
        <v>1124</v>
      </c>
      <c r="E245" s="39">
        <f>E230/E241</f>
        <v>40.993191489361699</v>
      </c>
      <c r="F245" s="30" t="s">
        <v>975</v>
      </c>
      <c r="I245" t="s">
        <v>1119</v>
      </c>
      <c r="M245" s="17">
        <v>8.1199999999999992</v>
      </c>
    </row>
    <row r="246" spans="1:14" ht="15.75" x14ac:dyDescent="0.3">
      <c r="A246" t="s">
        <v>1125</v>
      </c>
      <c r="E246" s="39">
        <f>(E235+E237+E238)*E245*2+E231</f>
        <v>94.003488372093003</v>
      </c>
      <c r="F246" t="s">
        <v>904</v>
      </c>
      <c r="I246" t="s">
        <v>1120</v>
      </c>
      <c r="M246" s="39">
        <f>M244*M245</f>
        <v>402.03785811080348</v>
      </c>
      <c r="N246" t="s">
        <v>898</v>
      </c>
    </row>
    <row r="247" spans="1:14" ht="15.75" x14ac:dyDescent="0.3">
      <c r="A247" t="s">
        <v>1140</v>
      </c>
      <c r="E247" s="23">
        <f>(E232-E233)/(2*E245)</f>
        <v>0</v>
      </c>
      <c r="F247" t="s">
        <v>904</v>
      </c>
      <c r="I247" t="s">
        <v>1121</v>
      </c>
      <c r="M247" s="16">
        <f>E250*0.01786/(E235*E235*PI()/4)</f>
        <v>11022.349265321582</v>
      </c>
      <c r="N247" t="s">
        <v>965</v>
      </c>
    </row>
    <row r="248" spans="1:14" ht="14.25" x14ac:dyDescent="0.2">
      <c r="I248" t="s">
        <v>966</v>
      </c>
      <c r="M248" s="17">
        <v>4</v>
      </c>
      <c r="N248" t="s">
        <v>1105</v>
      </c>
    </row>
    <row r="249" spans="1:14" x14ac:dyDescent="0.2">
      <c r="A249" t="s">
        <v>1126</v>
      </c>
      <c r="E249" s="39">
        <f>PI()*(E231+E246)/2</f>
        <v>257.61607711643319</v>
      </c>
      <c r="F249" t="s">
        <v>904</v>
      </c>
      <c r="I249" t="s">
        <v>968</v>
      </c>
      <c r="M249" s="39">
        <f>1000*(E235*E235*PI()/4)*M248</f>
        <v>80.424771931898704</v>
      </c>
      <c r="N249" t="s">
        <v>840</v>
      </c>
    </row>
    <row r="250" spans="1:14" x14ac:dyDescent="0.2">
      <c r="A250" t="s">
        <v>1127</v>
      </c>
      <c r="E250" s="16">
        <f>E249*E230/1000</f>
        <v>12408.593586467236</v>
      </c>
      <c r="F250" t="s">
        <v>980</v>
      </c>
      <c r="I250" t="s">
        <v>970</v>
      </c>
      <c r="M250" s="23">
        <f>0.000001*M249*M249*M247</f>
        <v>71.294141608337043</v>
      </c>
      <c r="N250" t="s">
        <v>971</v>
      </c>
    </row>
    <row r="251" spans="1:14" x14ac:dyDescent="0.2">
      <c r="A251" t="s">
        <v>1128</v>
      </c>
      <c r="E251" s="19">
        <f>10*E250*(0.01*E235)^2*PI()*8.93/4</f>
        <v>2.2279419252605321</v>
      </c>
      <c r="F251" t="s">
        <v>874</v>
      </c>
    </row>
    <row r="252" spans="1:14" x14ac:dyDescent="0.2">
      <c r="A252" s="122" t="s">
        <v>1152</v>
      </c>
      <c r="B252" s="87"/>
      <c r="C252" s="87"/>
      <c r="D252" s="87"/>
      <c r="E252" s="123"/>
      <c r="F252" s="87"/>
      <c r="G252" s="123"/>
      <c r="H252" s="87"/>
      <c r="I252" s="87"/>
      <c r="J252" s="87"/>
      <c r="K252" s="87"/>
      <c r="L252" s="87"/>
      <c r="M252" s="87"/>
    </row>
    <row r="255" spans="1:14" x14ac:dyDescent="0.2">
      <c r="A255" s="3" t="s">
        <v>982</v>
      </c>
    </row>
    <row r="256" spans="1:14" x14ac:dyDescent="0.2">
      <c r="A256" t="s">
        <v>1134</v>
      </c>
      <c r="E256" s="23">
        <f>E246/E186</f>
        <v>1.8800697674418598</v>
      </c>
      <c r="G256" s="100" t="str">
        <f>IF(E256&lt;=2.5,"OK","too fat")</f>
        <v>OK</v>
      </c>
    </row>
    <row r="257" spans="1:7" x14ac:dyDescent="0.2">
      <c r="E257" s="27"/>
      <c r="F257" s="18"/>
      <c r="G257" s="27"/>
    </row>
    <row r="259" spans="1:7" x14ac:dyDescent="0.2">
      <c r="A259" s="3" t="s">
        <v>1135</v>
      </c>
    </row>
    <row r="260" spans="1:7" x14ac:dyDescent="0.2">
      <c r="A260" s="3" t="s">
        <v>983</v>
      </c>
    </row>
    <row r="261" spans="1:7" x14ac:dyDescent="0.2">
      <c r="A261" t="s">
        <v>1136</v>
      </c>
      <c r="E261" s="23">
        <f>0.1*E232/E129</f>
        <v>2.35</v>
      </c>
      <c r="G261" s="112" t="str">
        <f>IF(E261&gt;=1.33,"OK","too short")</f>
        <v>OK</v>
      </c>
    </row>
    <row r="264" spans="1:7" x14ac:dyDescent="0.2">
      <c r="A264" s="3" t="s">
        <v>984</v>
      </c>
    </row>
    <row r="265" spans="1:7" x14ac:dyDescent="0.2">
      <c r="A265" s="3" t="s">
        <v>985</v>
      </c>
    </row>
    <row r="266" spans="1:7" x14ac:dyDescent="0.2">
      <c r="A266" s="3" t="s">
        <v>986</v>
      </c>
    </row>
    <row r="267" spans="1:7" x14ac:dyDescent="0.2">
      <c r="A267" t="s">
        <v>1137</v>
      </c>
      <c r="E267" s="23">
        <f>0.1*E187/E129</f>
        <v>3.0000255976748202</v>
      </c>
      <c r="G267" s="112" t="str">
        <f>IF(E267&gt;=2,"OK","too short")</f>
        <v>OK</v>
      </c>
    </row>
    <row r="268" spans="1:7" x14ac:dyDescent="0.2">
      <c r="A268" t="s">
        <v>1177</v>
      </c>
      <c r="E268" s="23">
        <f>E187/E232</f>
        <v>1.2766066373084342</v>
      </c>
      <c r="G268" s="112" t="str">
        <f>IF(E268&gt;=2,"OK","too short")</f>
        <v>too short</v>
      </c>
    </row>
    <row r="269" spans="1:7" x14ac:dyDescent="0.2">
      <c r="A269" s="3"/>
    </row>
    <row r="270" spans="1:7" x14ac:dyDescent="0.2">
      <c r="A270" s="3" t="s">
        <v>987</v>
      </c>
    </row>
    <row r="271" spans="1:7" x14ac:dyDescent="0.2">
      <c r="A271" s="3" t="s">
        <v>988</v>
      </c>
    </row>
    <row r="272" spans="1:7" x14ac:dyDescent="0.2">
      <c r="A272" s="113" t="s">
        <v>1138</v>
      </c>
      <c r="E272" s="10">
        <f>G218</f>
        <v>12234.418</v>
      </c>
      <c r="F272" t="s">
        <v>1139</v>
      </c>
    </row>
    <row r="273" spans="1:9" x14ac:dyDescent="0.2">
      <c r="A273" s="3"/>
    </row>
    <row r="274" spans="1:9" x14ac:dyDescent="0.2">
      <c r="A274" s="3"/>
    </row>
    <row r="275" spans="1:9" x14ac:dyDescent="0.2">
      <c r="A275" s="3" t="s">
        <v>989</v>
      </c>
    </row>
    <row r="276" spans="1:9" x14ac:dyDescent="0.2">
      <c r="A276" s="3" t="s">
        <v>990</v>
      </c>
    </row>
    <row r="277" spans="1:9" x14ac:dyDescent="0.2">
      <c r="A277" s="3" t="s">
        <v>991</v>
      </c>
    </row>
    <row r="278" spans="1:9" x14ac:dyDescent="0.2">
      <c r="A278" s="113" t="s">
        <v>1141</v>
      </c>
      <c r="E278" s="10">
        <f>E217</f>
        <v>96.333178031544691</v>
      </c>
      <c r="F278" t="s">
        <v>1139</v>
      </c>
    </row>
    <row r="279" spans="1:9" x14ac:dyDescent="0.2">
      <c r="A279" s="3"/>
    </row>
    <row r="280" spans="1:9" x14ac:dyDescent="0.2">
      <c r="A280" s="3"/>
    </row>
    <row r="281" spans="1:9" x14ac:dyDescent="0.2">
      <c r="A281" s="3" t="s">
        <v>1142</v>
      </c>
    </row>
    <row r="282" spans="1:9" x14ac:dyDescent="0.2">
      <c r="A282" s="3" t="s">
        <v>1143</v>
      </c>
    </row>
    <row r="283" spans="1:9" x14ac:dyDescent="0.2">
      <c r="A283" s="113" t="s">
        <v>1144</v>
      </c>
      <c r="E283" s="10">
        <f>E179/E147</f>
        <v>0.88559244363086831</v>
      </c>
      <c r="G283" s="112" t="str">
        <f>IF(E283&gt;=0.85,"OK",IF(E283&gt;=0.7,"a bit short","too short"))</f>
        <v>OK</v>
      </c>
      <c r="I283" t="s">
        <v>426</v>
      </c>
    </row>
    <row r="284" spans="1:9" x14ac:dyDescent="0.2">
      <c r="A284" s="113" t="s">
        <v>1145</v>
      </c>
      <c r="E284" s="10">
        <f>E178-E177</f>
        <v>0</v>
      </c>
      <c r="G284" s="112" t="str">
        <f>IF(E284&lt;0.5,"low",IF(AND(E284&gt;=0.5,E284&lt;=1),"OK","too high"))</f>
        <v>low</v>
      </c>
    </row>
    <row r="285" spans="1:9" x14ac:dyDescent="0.2">
      <c r="A285" s="3"/>
      <c r="D285" s="33" t="s">
        <v>1178</v>
      </c>
      <c r="E285" s="112">
        <f>E178</f>
        <v>3</v>
      </c>
      <c r="F285" s="2" t="s">
        <v>1179</v>
      </c>
      <c r="G285" s="100">
        <f>E177</f>
        <v>3.0000000000000031</v>
      </c>
      <c r="H285" t="s">
        <v>1180</v>
      </c>
    </row>
    <row r="286" spans="1:9" x14ac:dyDescent="0.2">
      <c r="A286" s="3"/>
      <c r="D286" s="33"/>
      <c r="E286" s="116"/>
      <c r="F286" s="116"/>
      <c r="G286" s="120"/>
    </row>
    <row r="287" spans="1:9" x14ac:dyDescent="0.2">
      <c r="A287" s="3"/>
    </row>
    <row r="288" spans="1:9" x14ac:dyDescent="0.2">
      <c r="A288" s="3" t="s">
        <v>1148</v>
      </c>
    </row>
    <row r="289" spans="1:6" x14ac:dyDescent="0.2">
      <c r="A289" s="3" t="s">
        <v>1146</v>
      </c>
    </row>
    <row r="290" spans="1:6" x14ac:dyDescent="0.2">
      <c r="A290" s="3" t="s">
        <v>1149</v>
      </c>
    </row>
    <row r="291" spans="1:6" x14ac:dyDescent="0.2">
      <c r="A291" s="113" t="s">
        <v>1147</v>
      </c>
    </row>
    <row r="292" spans="1:6" x14ac:dyDescent="0.2">
      <c r="A292" s="3"/>
    </row>
    <row r="293" spans="1:6" x14ac:dyDescent="0.2">
      <c r="A293" s="3"/>
    </row>
    <row r="294" spans="1:6" x14ac:dyDescent="0.2">
      <c r="A294" s="3" t="s">
        <v>1157</v>
      </c>
    </row>
    <row r="295" spans="1:6" x14ac:dyDescent="0.2">
      <c r="A295" s="3" t="s">
        <v>1153</v>
      </c>
    </row>
    <row r="296" spans="1:6" x14ac:dyDescent="0.2">
      <c r="A296" s="3" t="s">
        <v>1156</v>
      </c>
    </row>
    <row r="297" spans="1:6" x14ac:dyDescent="0.2">
      <c r="A297" s="3" t="s">
        <v>1155</v>
      </c>
    </row>
    <row r="298" spans="1:6" x14ac:dyDescent="0.2">
      <c r="A298" s="3" t="s">
        <v>1154</v>
      </c>
    </row>
    <row r="300" spans="1:6" x14ac:dyDescent="0.2">
      <c r="A300" s="113" t="s">
        <v>1158</v>
      </c>
    </row>
    <row r="301" spans="1:6" x14ac:dyDescent="0.2">
      <c r="A301" s="113" t="s">
        <v>1159</v>
      </c>
      <c r="E301" s="23">
        <f>0.277513707713303+0.126392777117194*EXP(-G129/(-6.84564814481717))</f>
        <v>0.50215511474648467</v>
      </c>
      <c r="F301" t="s">
        <v>1160</v>
      </c>
    </row>
    <row r="305" spans="1:8" x14ac:dyDescent="0.2">
      <c r="A305" s="18"/>
      <c r="B305" s="18"/>
      <c r="C305" s="18"/>
      <c r="D305" s="18"/>
      <c r="E305" s="116"/>
      <c r="F305" s="18"/>
      <c r="G305" s="116"/>
      <c r="H305" s="18"/>
    </row>
    <row r="306" spans="1:8" x14ac:dyDescent="0.2">
      <c r="A306" s="18"/>
      <c r="B306" s="18"/>
      <c r="C306" s="18"/>
      <c r="D306" s="18"/>
      <c r="E306" s="18"/>
      <c r="F306" s="18"/>
      <c r="G306" s="18"/>
      <c r="H306" s="18"/>
    </row>
    <row r="307" spans="1:8" x14ac:dyDescent="0.2">
      <c r="A307" s="18"/>
      <c r="B307" s="18"/>
      <c r="C307" s="18"/>
      <c r="D307" s="18"/>
      <c r="E307" s="34"/>
      <c r="F307" s="18"/>
      <c r="G307" s="34"/>
      <c r="H307" s="18"/>
    </row>
    <row r="308" spans="1:8" x14ac:dyDescent="0.2">
      <c r="A308" s="18"/>
      <c r="B308" s="18"/>
      <c r="C308" s="18"/>
      <c r="D308" s="18"/>
      <c r="E308" s="18"/>
      <c r="F308" s="18"/>
      <c r="G308" s="18"/>
      <c r="H308" s="18"/>
    </row>
    <row r="309" spans="1:8" x14ac:dyDescent="0.2">
      <c r="A309" s="18"/>
      <c r="B309" s="18"/>
      <c r="C309" s="18"/>
      <c r="D309" s="18"/>
      <c r="E309" s="27"/>
      <c r="F309" s="18"/>
      <c r="G309" s="18"/>
      <c r="H309" s="18"/>
    </row>
    <row r="310" spans="1:8" x14ac:dyDescent="0.2">
      <c r="A310" s="18"/>
      <c r="B310" s="18"/>
      <c r="C310" s="18"/>
      <c r="D310" s="18"/>
      <c r="E310" s="18"/>
      <c r="F310" s="18"/>
      <c r="G310" s="18"/>
      <c r="H310" s="18"/>
    </row>
    <row r="311" spans="1:8" x14ac:dyDescent="0.2">
      <c r="A311" s="18"/>
      <c r="B311" s="18"/>
      <c r="C311" s="18"/>
      <c r="D311" s="18"/>
      <c r="E311" s="18"/>
      <c r="F311" s="18"/>
      <c r="G311" s="18"/>
      <c r="H311" s="18"/>
    </row>
    <row r="312" spans="1:8" x14ac:dyDescent="0.2">
      <c r="A312" s="18"/>
      <c r="B312" s="18"/>
      <c r="C312" s="18"/>
      <c r="D312" s="18"/>
      <c r="E312" s="116"/>
      <c r="F312" s="18"/>
      <c r="G312" s="86"/>
      <c r="H312" s="18"/>
    </row>
    <row r="313" spans="1:8" x14ac:dyDescent="0.2">
      <c r="A313" s="18"/>
      <c r="B313" s="18"/>
      <c r="C313" s="18"/>
      <c r="D313" s="18"/>
      <c r="E313" s="18"/>
      <c r="F313" s="18"/>
      <c r="G313" s="84"/>
      <c r="H313" s="18"/>
    </row>
    <row r="314" spans="1:8" x14ac:dyDescent="0.2">
      <c r="A314" s="18"/>
      <c r="B314" s="18"/>
      <c r="C314" s="18"/>
      <c r="D314" s="18"/>
      <c r="E314" s="18"/>
      <c r="F314" s="18"/>
      <c r="G314" s="18"/>
      <c r="H314" s="18"/>
    </row>
    <row r="315" spans="1:8" x14ac:dyDescent="0.2">
      <c r="A315" s="18"/>
      <c r="B315" s="18"/>
      <c r="C315" s="18"/>
      <c r="D315" s="18"/>
      <c r="E315" s="18"/>
      <c r="F315" s="18"/>
      <c r="G315" s="18"/>
      <c r="H315" s="18"/>
    </row>
    <row r="316" spans="1:8" x14ac:dyDescent="0.2">
      <c r="A316" s="18"/>
      <c r="B316" s="18"/>
      <c r="C316" s="18"/>
      <c r="D316" s="18"/>
      <c r="E316" s="18"/>
      <c r="F316" s="18"/>
      <c r="G316" s="18"/>
      <c r="H316" s="18"/>
    </row>
    <row r="317" spans="1:8" x14ac:dyDescent="0.2">
      <c r="A317" s="18"/>
      <c r="B317" s="18"/>
      <c r="C317" s="18"/>
      <c r="D317" s="18"/>
      <c r="E317" s="18"/>
      <c r="F317" s="18"/>
      <c r="G317" s="18"/>
      <c r="H317" s="18"/>
    </row>
    <row r="318" spans="1:8" x14ac:dyDescent="0.2">
      <c r="A318" s="18"/>
      <c r="B318" s="18"/>
      <c r="C318" s="18"/>
      <c r="D318" s="18"/>
      <c r="E318" s="18"/>
      <c r="F318" s="18"/>
      <c r="G318" s="18"/>
      <c r="H318" s="18"/>
    </row>
    <row r="319" spans="1:8" x14ac:dyDescent="0.2">
      <c r="A319" s="18"/>
      <c r="B319" s="18"/>
      <c r="C319" s="18"/>
      <c r="D319" s="18"/>
      <c r="E319" s="18"/>
      <c r="F319" s="18"/>
      <c r="G319" s="18"/>
      <c r="H319" s="18"/>
    </row>
  </sheetData>
  <phoneticPr fontId="0" type="noConversion"/>
  <pageMargins left="0.78740157499999996" right="0.4" top="0.74" bottom="0.71" header="0.27" footer="0.23"/>
  <pageSetup paperSize="9" fitToHeight="2" orientation="portrait" verticalDpi="0" r:id="rId1"/>
  <headerFooter alignWithMargins="0">
    <oddFooter>&amp;L&amp;F&amp;R&amp;D / K.Schraner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A1:N53"/>
  <sheetViews>
    <sheetView workbookViewId="0"/>
  </sheetViews>
  <sheetFormatPr baseColWidth="10" defaultRowHeight="12.75" x14ac:dyDescent="0.2"/>
  <cols>
    <col min="1" max="1" width="24.7109375" customWidth="1"/>
  </cols>
  <sheetData>
    <row r="1" spans="1:13" ht="26.25" x14ac:dyDescent="0.4">
      <c r="A1" s="312" t="s">
        <v>545</v>
      </c>
      <c r="B1" s="33"/>
      <c r="D1" s="242"/>
      <c r="E1" s="2"/>
      <c r="H1" s="37" t="s">
        <v>591</v>
      </c>
    </row>
    <row r="2" spans="1:13" x14ac:dyDescent="0.2">
      <c r="B2" s="33"/>
      <c r="D2" s="242"/>
      <c r="E2" s="2"/>
      <c r="G2" s="33"/>
    </row>
    <row r="3" spans="1:13" x14ac:dyDescent="0.2">
      <c r="B3" t="s">
        <v>1021</v>
      </c>
      <c r="C3" s="286" t="s">
        <v>765</v>
      </c>
      <c r="D3" s="242"/>
      <c r="E3" s="2"/>
    </row>
    <row r="4" spans="1:13" x14ac:dyDescent="0.2">
      <c r="B4" s="33"/>
      <c r="D4" s="242"/>
      <c r="E4" s="2"/>
    </row>
    <row r="5" spans="1:13" x14ac:dyDescent="0.2">
      <c r="A5" s="40" t="s">
        <v>546</v>
      </c>
      <c r="B5" s="33"/>
      <c r="D5" s="242"/>
      <c r="E5" s="239" t="s">
        <v>547</v>
      </c>
      <c r="K5" s="40" t="s">
        <v>951</v>
      </c>
    </row>
    <row r="6" spans="1:13" x14ac:dyDescent="0.2">
      <c r="A6" t="s">
        <v>548</v>
      </c>
      <c r="B6" s="313">
        <f>H26</f>
        <v>10800</v>
      </c>
      <c r="C6" t="s">
        <v>341</v>
      </c>
      <c r="D6" s="242"/>
      <c r="E6" s="2"/>
      <c r="G6" s="33" t="s">
        <v>549</v>
      </c>
      <c r="H6" s="2" t="s">
        <v>550</v>
      </c>
      <c r="I6" s="2" t="s">
        <v>551</v>
      </c>
      <c r="J6" s="116"/>
    </row>
    <row r="7" spans="1:13" x14ac:dyDescent="0.2">
      <c r="A7" s="41" t="s">
        <v>552</v>
      </c>
      <c r="B7" s="269">
        <v>0.2</v>
      </c>
      <c r="C7" t="s">
        <v>904</v>
      </c>
      <c r="D7" s="242"/>
      <c r="E7" s="2"/>
      <c r="G7" s="33" t="s">
        <v>711</v>
      </c>
      <c r="H7" s="10">
        <f>B7</f>
        <v>0.2</v>
      </c>
      <c r="I7" s="10">
        <f>B7</f>
        <v>0.2</v>
      </c>
      <c r="J7" s="41" t="s">
        <v>904</v>
      </c>
      <c r="K7" s="41" t="s">
        <v>955</v>
      </c>
    </row>
    <row r="8" spans="1:13" x14ac:dyDescent="0.2">
      <c r="A8" s="41" t="s">
        <v>705</v>
      </c>
      <c r="B8" s="269">
        <v>0.16</v>
      </c>
      <c r="C8" t="s">
        <v>904</v>
      </c>
      <c r="D8" s="242"/>
      <c r="E8" s="2"/>
      <c r="G8" s="33" t="s">
        <v>712</v>
      </c>
      <c r="H8" s="10">
        <f>B8</f>
        <v>0.16</v>
      </c>
      <c r="I8" s="10">
        <f>B8</f>
        <v>0.16</v>
      </c>
      <c r="J8" s="41" t="s">
        <v>904</v>
      </c>
      <c r="K8" s="41" t="s">
        <v>957</v>
      </c>
    </row>
    <row r="9" spans="1:13" x14ac:dyDescent="0.2">
      <c r="A9" t="s">
        <v>819</v>
      </c>
      <c r="B9" s="269">
        <v>70</v>
      </c>
      <c r="C9" t="s">
        <v>904</v>
      </c>
      <c r="D9" s="242"/>
      <c r="E9" s="2"/>
      <c r="G9" s="119" t="s">
        <v>811</v>
      </c>
      <c r="H9" s="336">
        <v>1.0695614706804231</v>
      </c>
      <c r="I9" s="336">
        <v>1</v>
      </c>
      <c r="J9" s="316" t="s">
        <v>557</v>
      </c>
      <c r="K9" t="s">
        <v>959</v>
      </c>
    </row>
    <row r="10" spans="1:13" x14ac:dyDescent="0.2">
      <c r="A10" t="s">
        <v>820</v>
      </c>
      <c r="B10" s="347">
        <v>90.869565217391298</v>
      </c>
      <c r="C10" t="s">
        <v>810</v>
      </c>
      <c r="D10" s="242"/>
      <c r="E10" s="2"/>
      <c r="G10" s="33" t="s">
        <v>812</v>
      </c>
      <c r="H10" s="317">
        <f>H7*H9</f>
        <v>0.21391229413608462</v>
      </c>
      <c r="I10" s="317">
        <f>I7*I9</f>
        <v>0.2</v>
      </c>
      <c r="J10" s="316" t="s">
        <v>904</v>
      </c>
    </row>
    <row r="11" spans="1:13" x14ac:dyDescent="0.2">
      <c r="A11" t="s">
        <v>706</v>
      </c>
      <c r="B11" s="269">
        <v>11.5</v>
      </c>
      <c r="C11" t="s">
        <v>818</v>
      </c>
      <c r="D11" s="242"/>
      <c r="E11" s="2"/>
      <c r="G11" s="33" t="s">
        <v>560</v>
      </c>
      <c r="H11" s="19">
        <f>($B$11-0.5*H10)/H10</f>
        <v>53.26035092533786</v>
      </c>
      <c r="I11" s="19">
        <f>($B$11)/I10</f>
        <v>57.5</v>
      </c>
      <c r="J11" s="241" t="s">
        <v>557</v>
      </c>
      <c r="K11" t="s">
        <v>561</v>
      </c>
    </row>
    <row r="12" spans="1:13" x14ac:dyDescent="0.2">
      <c r="A12" t="s">
        <v>707</v>
      </c>
      <c r="B12" s="346">
        <v>14.6875</v>
      </c>
      <c r="C12" t="s">
        <v>821</v>
      </c>
      <c r="D12" s="242"/>
      <c r="E12" s="2"/>
      <c r="G12" s="33" t="s">
        <v>710</v>
      </c>
      <c r="H12" s="19">
        <f>0.866025*H10</f>
        <v>0.1852533945292027</v>
      </c>
      <c r="I12" s="19">
        <f>I10</f>
        <v>0.2</v>
      </c>
      <c r="J12" s="35" t="s">
        <v>904</v>
      </c>
    </row>
    <row r="13" spans="1:13" ht="13.5" thickBot="1" x14ac:dyDescent="0.25">
      <c r="A13" t="s">
        <v>527</v>
      </c>
      <c r="B13" s="269">
        <v>16</v>
      </c>
      <c r="D13" s="242"/>
      <c r="E13" s="2"/>
      <c r="G13" s="33" t="s">
        <v>709</v>
      </c>
      <c r="H13" s="39">
        <f>0.5*($B$10-$B$9)/H12</f>
        <v>56.327079108128011</v>
      </c>
      <c r="I13" s="39">
        <f>0.5*($B$10-$B$9)/I12</f>
        <v>52.173913043478244</v>
      </c>
      <c r="J13" s="35" t="s">
        <v>557</v>
      </c>
      <c r="K13" s="3" t="s">
        <v>787</v>
      </c>
    </row>
    <row r="14" spans="1:13" ht="13.5" thickBot="1" x14ac:dyDescent="0.25">
      <c r="D14" s="242"/>
      <c r="E14" s="2"/>
      <c r="G14" s="33" t="s">
        <v>708</v>
      </c>
      <c r="H14" s="344">
        <f>H13*H11</f>
        <v>2999.9999998981648</v>
      </c>
      <c r="I14" s="345">
        <f>I13*I11</f>
        <v>2999.9999999999991</v>
      </c>
      <c r="J14" t="s">
        <v>557</v>
      </c>
      <c r="K14" t="s">
        <v>567</v>
      </c>
      <c r="L14">
        <f>(B9+B10)/(2*25.4)</f>
        <v>3.1667237247517979</v>
      </c>
      <c r="M14" t="s">
        <v>835</v>
      </c>
    </row>
    <row r="15" spans="1:13" x14ac:dyDescent="0.2">
      <c r="A15" t="s">
        <v>815</v>
      </c>
      <c r="B15" s="23">
        <f>H12*H13</f>
        <v>10.434782608695649</v>
      </c>
      <c r="C15" s="23">
        <f>I12*I13</f>
        <v>10.434782608695649</v>
      </c>
      <c r="D15" t="s">
        <v>904</v>
      </c>
      <c r="E15" s="2"/>
      <c r="G15" s="33" t="s">
        <v>571</v>
      </c>
      <c r="H15" s="321">
        <f>$B$13*H14</f>
        <v>47999.999998370637</v>
      </c>
      <c r="I15" s="321">
        <f>$B$13*I14</f>
        <v>47999.999999999985</v>
      </c>
      <c r="J15" t="s">
        <v>557</v>
      </c>
      <c r="K15" t="s">
        <v>572</v>
      </c>
      <c r="L15">
        <f>B11/25.4</f>
        <v>0.45275590551181105</v>
      </c>
      <c r="M15" t="s">
        <v>835</v>
      </c>
    </row>
    <row r="16" spans="1:13" x14ac:dyDescent="0.2">
      <c r="A16" t="s">
        <v>816</v>
      </c>
      <c r="B16" s="23">
        <f>H11*H10</f>
        <v>11.393043852931958</v>
      </c>
      <c r="C16" s="23">
        <f>I11*I10</f>
        <v>11.5</v>
      </c>
      <c r="D16" t="s">
        <v>904</v>
      </c>
      <c r="E16" s="2"/>
      <c r="G16" s="33" t="s">
        <v>573</v>
      </c>
      <c r="H16" s="331">
        <v>78</v>
      </c>
      <c r="I16" s="331">
        <v>78</v>
      </c>
      <c r="J16" t="s">
        <v>557</v>
      </c>
      <c r="K16" s="316" t="s">
        <v>574</v>
      </c>
      <c r="L16">
        <f>(B10-B9)/(2*25.4)</f>
        <v>0.41081821294077359</v>
      </c>
      <c r="M16" t="s">
        <v>835</v>
      </c>
    </row>
    <row r="17" spans="1:13" x14ac:dyDescent="0.2">
      <c r="A17" t="s">
        <v>814</v>
      </c>
      <c r="B17" s="23">
        <f>B16*B15</f>
        <v>118.88393585668126</v>
      </c>
      <c r="C17" s="23">
        <f>C15*C16</f>
        <v>119.99999999999996</v>
      </c>
      <c r="D17" t="s">
        <v>100</v>
      </c>
      <c r="E17" s="2"/>
      <c r="G17" s="33" t="s">
        <v>575</v>
      </c>
      <c r="H17" s="322">
        <f>0.0005*($B$10+$B$9)*PI()*H15</f>
        <v>12129.279462143648</v>
      </c>
      <c r="I17" s="322">
        <f>0.0005*($B$10+$B$9)*PI()*I15</f>
        <v>12129.279462555374</v>
      </c>
      <c r="J17" t="s">
        <v>980</v>
      </c>
      <c r="K17" s="35" t="s">
        <v>576</v>
      </c>
      <c r="L17" s="35">
        <f>I14</f>
        <v>2999.9999999999991</v>
      </c>
      <c r="M17" t="s">
        <v>557</v>
      </c>
    </row>
    <row r="18" spans="1:13" x14ac:dyDescent="0.2">
      <c r="A18" t="s">
        <v>817</v>
      </c>
      <c r="B18" s="23">
        <f>H14*H8*H8*PI()/4</f>
        <v>60.318578946876521</v>
      </c>
      <c r="C18" s="23">
        <f>I14*I8*I8*PI()/4</f>
        <v>60.318578948924014</v>
      </c>
      <c r="D18" t="s">
        <v>100</v>
      </c>
      <c r="E18" s="2"/>
      <c r="G18" s="33" t="s">
        <v>703</v>
      </c>
      <c r="H18" s="264">
        <f>$B$27*(H17*10)*((H8)^2*PI()/40000)</f>
        <v>2.1777915481399024</v>
      </c>
      <c r="I18" s="264">
        <f>$B$27*(I17*10)*((I8)^2*PI()/40000)</f>
        <v>2.1777915482138273</v>
      </c>
      <c r="J18" t="s">
        <v>874</v>
      </c>
      <c r="K18" s="35"/>
    </row>
    <row r="19" spans="1:13" x14ac:dyDescent="0.2">
      <c r="D19" s="242"/>
      <c r="E19" s="2"/>
      <c r="G19" s="33" t="s">
        <v>579</v>
      </c>
      <c r="H19" s="319">
        <f>$B$28*H17/(H8*H8*PI()/4)</f>
        <v>10774.239130069052</v>
      </c>
      <c r="I19" s="319">
        <f>$B$28*I17/(I8*I8*PI()/4)</f>
        <v>10774.239130434782</v>
      </c>
      <c r="J19" t="s">
        <v>341</v>
      </c>
      <c r="K19" t="s">
        <v>580</v>
      </c>
      <c r="L19">
        <f>(0.2*L14*L14*L17*L17)/(3*L14+9*L15+10*L16)</f>
        <v>1020782.1502757353</v>
      </c>
      <c r="M19" t="s">
        <v>1072</v>
      </c>
    </row>
    <row r="20" spans="1:13" x14ac:dyDescent="0.2">
      <c r="A20" t="s">
        <v>823</v>
      </c>
      <c r="B20" s="16">
        <f>B17/(H12*H10)</f>
        <v>2999.9999998981639</v>
      </c>
      <c r="C20" s="16">
        <f>C17/(I10*I12)</f>
        <v>2999.9999999999982</v>
      </c>
      <c r="D20" s="330" t="s">
        <v>822</v>
      </c>
      <c r="E20" s="2"/>
      <c r="G20" s="33" t="s">
        <v>582</v>
      </c>
      <c r="H20" s="264">
        <f>L20</f>
        <v>1020.7821502757353</v>
      </c>
      <c r="I20" s="264">
        <f>L20</f>
        <v>1020.7821502757353</v>
      </c>
      <c r="J20" t="s">
        <v>995</v>
      </c>
      <c r="K20" s="35" t="s">
        <v>583</v>
      </c>
      <c r="L20" s="264">
        <f>L19/1000</f>
        <v>1020.7821502757353</v>
      </c>
      <c r="M20" t="s">
        <v>995</v>
      </c>
    </row>
    <row r="21" spans="1:13" x14ac:dyDescent="0.2">
      <c r="D21" s="242"/>
      <c r="K21" t="s">
        <v>789</v>
      </c>
      <c r="L21" s="356">
        <v>985</v>
      </c>
      <c r="M21" t="s">
        <v>995</v>
      </c>
    </row>
    <row r="22" spans="1:13" x14ac:dyDescent="0.2">
      <c r="D22" s="242"/>
      <c r="K22" s="113" t="s">
        <v>790</v>
      </c>
      <c r="L22" s="238">
        <f>(L20-L21)/L21</f>
        <v>3.632705611749773E-2</v>
      </c>
    </row>
    <row r="23" spans="1:13" x14ac:dyDescent="0.2">
      <c r="A23" t="s">
        <v>569</v>
      </c>
      <c r="B23" s="320">
        <f>H18/B13</f>
        <v>0.1361119717587439</v>
      </c>
      <c r="C23" t="s">
        <v>570</v>
      </c>
      <c r="D23" s="242"/>
      <c r="E23" s="323" t="s">
        <v>584</v>
      </c>
      <c r="F23" s="324" t="s">
        <v>585</v>
      </c>
      <c r="H23" s="325">
        <f>0.352</f>
        <v>0.35199999999999998</v>
      </c>
      <c r="I23" s="325">
        <v>0.35199999999999998</v>
      </c>
      <c r="J23" t="s">
        <v>874</v>
      </c>
    </row>
    <row r="24" spans="1:13" x14ac:dyDescent="0.2">
      <c r="A24" t="s">
        <v>813</v>
      </c>
      <c r="B24" s="104">
        <f>B23*B13</f>
        <v>2.1777915481399024</v>
      </c>
      <c r="C24" t="s">
        <v>570</v>
      </c>
      <c r="D24" s="242"/>
      <c r="E24" s="2"/>
      <c r="F24" s="324" t="s">
        <v>808</v>
      </c>
      <c r="H24" s="325">
        <v>673</v>
      </c>
      <c r="I24" s="325">
        <v>673</v>
      </c>
      <c r="J24" t="s">
        <v>341</v>
      </c>
    </row>
    <row r="25" spans="1:13" x14ac:dyDescent="0.2">
      <c r="A25" s="147" t="s">
        <v>702</v>
      </c>
      <c r="B25" s="10">
        <f>B12*B13</f>
        <v>235</v>
      </c>
      <c r="C25" t="s">
        <v>904</v>
      </c>
      <c r="D25" s="242"/>
      <c r="E25" s="2"/>
      <c r="F25" s="324" t="s">
        <v>588</v>
      </c>
      <c r="H25" s="325">
        <v>985</v>
      </c>
      <c r="I25" s="325">
        <v>985</v>
      </c>
      <c r="J25" t="s">
        <v>995</v>
      </c>
      <c r="K25" s="3" t="s">
        <v>788</v>
      </c>
      <c r="L25" s="238"/>
    </row>
    <row r="26" spans="1:13" x14ac:dyDescent="0.2">
      <c r="D26" s="242"/>
      <c r="E26" s="333" t="s">
        <v>809</v>
      </c>
      <c r="F26" s="334">
        <f>B13</f>
        <v>16</v>
      </c>
      <c r="G26" s="333" t="s">
        <v>592</v>
      </c>
      <c r="H26" s="313">
        <v>10800</v>
      </c>
      <c r="I26" s="355">
        <v>10900</v>
      </c>
      <c r="J26" t="s">
        <v>341</v>
      </c>
      <c r="K26" t="s">
        <v>567</v>
      </c>
      <c r="L26">
        <f>(B9+B10)/(2*25.4)</f>
        <v>3.1667237247517979</v>
      </c>
      <c r="M26" t="s">
        <v>835</v>
      </c>
    </row>
    <row r="27" spans="1:13" x14ac:dyDescent="0.2">
      <c r="A27" t="s">
        <v>578</v>
      </c>
      <c r="B27" s="17">
        <v>8.93</v>
      </c>
      <c r="C27" t="s">
        <v>1208</v>
      </c>
      <c r="D27" s="242"/>
      <c r="E27" s="2"/>
      <c r="G27" s="333" t="s">
        <v>590</v>
      </c>
      <c r="H27" s="268">
        <f>(H20-H25)/H25</f>
        <v>3.632705611749773E-2</v>
      </c>
      <c r="I27" s="268">
        <f>(I20-I25)/I25</f>
        <v>3.632705611749773E-2</v>
      </c>
      <c r="K27" t="s">
        <v>572</v>
      </c>
      <c r="L27">
        <f>B25/25.4</f>
        <v>9.2519685039370092</v>
      </c>
      <c r="M27" t="s">
        <v>835</v>
      </c>
    </row>
    <row r="28" spans="1:13" x14ac:dyDescent="0.2">
      <c r="A28" t="s">
        <v>704</v>
      </c>
      <c r="B28" s="17">
        <v>1.7860000000000001E-2</v>
      </c>
      <c r="C28" t="s">
        <v>1035</v>
      </c>
      <c r="D28" s="242"/>
      <c r="E28" s="2"/>
      <c r="G28" s="333" t="s">
        <v>807</v>
      </c>
      <c r="H28" s="268">
        <f>(H19-H26)/H26</f>
        <v>-2.3852657343469991E-3</v>
      </c>
      <c r="I28" s="268">
        <f>(I19-I26)/I26</f>
        <v>-1.1537694455524583E-2</v>
      </c>
      <c r="K28" s="316" t="s">
        <v>574</v>
      </c>
      <c r="L28">
        <f>(B10-B9)/(2*25.4)</f>
        <v>0.41081821294077359</v>
      </c>
      <c r="M28" t="s">
        <v>835</v>
      </c>
    </row>
    <row r="29" spans="1:13" x14ac:dyDescent="0.2">
      <c r="D29" s="242"/>
      <c r="E29" s="2"/>
      <c r="K29" s="35" t="s">
        <v>576</v>
      </c>
      <c r="L29" s="35">
        <f>I15</f>
        <v>47999.999999999985</v>
      </c>
      <c r="M29" t="s">
        <v>557</v>
      </c>
    </row>
    <row r="30" spans="1:13" x14ac:dyDescent="0.2">
      <c r="A30" s="326"/>
      <c r="B30" s="3"/>
      <c r="D30" s="242"/>
      <c r="E30" s="2"/>
      <c r="G30" s="33"/>
      <c r="K30" s="35"/>
    </row>
    <row r="31" spans="1:13" x14ac:dyDescent="0.2">
      <c r="A31" s="41" t="s">
        <v>552</v>
      </c>
      <c r="B31" s="269">
        <v>0.3</v>
      </c>
      <c r="C31" t="s">
        <v>716</v>
      </c>
      <c r="D31" s="349">
        <v>91.758685359614788</v>
      </c>
      <c r="E31" s="350" t="s">
        <v>904</v>
      </c>
      <c r="F31" s="350" t="s">
        <v>718</v>
      </c>
      <c r="G31" s="33"/>
      <c r="K31" t="s">
        <v>580</v>
      </c>
      <c r="L31">
        <f>(0.2*L26*L26*L29*L29)/(3*L26+9*L27+10*L28)</f>
        <v>47699772.786931902</v>
      </c>
      <c r="M31" t="s">
        <v>1072</v>
      </c>
    </row>
    <row r="32" spans="1:13" x14ac:dyDescent="0.2">
      <c r="A32" s="41" t="s">
        <v>552</v>
      </c>
      <c r="B32" s="269">
        <v>0.36</v>
      </c>
      <c r="C32" t="s">
        <v>716</v>
      </c>
      <c r="D32" s="347">
        <v>104.11761864387599</v>
      </c>
      <c r="E32" s="350" t="s">
        <v>904</v>
      </c>
      <c r="F32" s="351" t="s">
        <v>717</v>
      </c>
      <c r="G32" s="80"/>
      <c r="H32" s="249"/>
      <c r="I32" s="80"/>
      <c r="K32" s="35" t="s">
        <v>583</v>
      </c>
      <c r="L32" s="264">
        <f>L31/1000000</f>
        <v>47.699772786931902</v>
      </c>
      <c r="M32" t="s">
        <v>898</v>
      </c>
    </row>
    <row r="33" spans="1:14" x14ac:dyDescent="0.2">
      <c r="A33" s="41" t="s">
        <v>552</v>
      </c>
      <c r="B33" s="269">
        <v>0.185</v>
      </c>
      <c r="C33" t="s">
        <v>716</v>
      </c>
      <c r="D33" s="347">
        <v>83.514762709336296</v>
      </c>
      <c r="E33" s="350" t="s">
        <v>904</v>
      </c>
      <c r="F33" s="351" t="s">
        <v>736</v>
      </c>
      <c r="G33" s="116"/>
      <c r="H33" s="2"/>
      <c r="I33" s="116"/>
      <c r="K33" t="s">
        <v>789</v>
      </c>
      <c r="L33" s="325">
        <v>49.8</v>
      </c>
      <c r="M33" t="s">
        <v>898</v>
      </c>
    </row>
    <row r="34" spans="1:14" x14ac:dyDescent="0.2">
      <c r="A34" s="328"/>
      <c r="B34" s="116"/>
      <c r="C34" s="116"/>
      <c r="D34" s="283"/>
      <c r="E34" s="116"/>
      <c r="F34" s="242"/>
      <c r="G34" s="242"/>
      <c r="H34" s="289"/>
      <c r="I34" s="116"/>
      <c r="K34" s="113" t="s">
        <v>790</v>
      </c>
      <c r="L34" s="238">
        <f>(L32-L33)/L33</f>
        <v>-4.2173237210202712E-2</v>
      </c>
    </row>
    <row r="35" spans="1:14" x14ac:dyDescent="0.2">
      <c r="A35" s="18"/>
      <c r="B35" s="116"/>
      <c r="C35" s="116"/>
      <c r="D35" s="283"/>
      <c r="E35" s="116"/>
      <c r="F35" s="242"/>
      <c r="G35" s="242"/>
      <c r="H35" s="289"/>
      <c r="I35" s="116"/>
    </row>
    <row r="36" spans="1:14" x14ac:dyDescent="0.2">
      <c r="A36" s="358" t="s">
        <v>795</v>
      </c>
      <c r="B36" s="116"/>
      <c r="C36" s="283"/>
      <c r="E36" s="116"/>
      <c r="F36" s="242"/>
      <c r="G36" s="242"/>
      <c r="H36" s="289"/>
      <c r="I36" s="116"/>
      <c r="K36" t="s">
        <v>744</v>
      </c>
    </row>
    <row r="37" spans="1:14" x14ac:dyDescent="0.2">
      <c r="A37" s="85" t="s">
        <v>796</v>
      </c>
      <c r="B37" s="116">
        <v>1.65</v>
      </c>
      <c r="C37" s="357" t="s">
        <v>1203</v>
      </c>
      <c r="E37" s="116"/>
      <c r="F37" s="242"/>
      <c r="G37" s="242"/>
      <c r="H37" s="289"/>
      <c r="I37" s="116"/>
      <c r="K37" t="s">
        <v>789</v>
      </c>
      <c r="L37" s="355">
        <v>401.7</v>
      </c>
      <c r="M37" t="s">
        <v>738</v>
      </c>
      <c r="N37" t="s">
        <v>740</v>
      </c>
    </row>
    <row r="38" spans="1:14" x14ac:dyDescent="0.2">
      <c r="A38" s="85" t="s">
        <v>797</v>
      </c>
      <c r="B38" s="116">
        <v>0.94</v>
      </c>
      <c r="C38" s="357" t="s">
        <v>1203</v>
      </c>
      <c r="E38" s="116"/>
      <c r="F38" s="242"/>
      <c r="G38" s="242"/>
      <c r="H38" s="289"/>
      <c r="I38" s="116"/>
      <c r="K38" t="s">
        <v>789</v>
      </c>
      <c r="L38" s="355">
        <v>767.6</v>
      </c>
      <c r="M38" t="s">
        <v>739</v>
      </c>
      <c r="N38" t="s">
        <v>741</v>
      </c>
    </row>
    <row r="39" spans="1:14" x14ac:dyDescent="0.2">
      <c r="A39" s="85" t="s">
        <v>798</v>
      </c>
      <c r="B39" s="116">
        <v>2.35</v>
      </c>
      <c r="C39" s="357" t="s">
        <v>1203</v>
      </c>
      <c r="E39" s="116"/>
      <c r="F39" s="242"/>
      <c r="G39" s="242"/>
      <c r="H39" s="289"/>
      <c r="I39" s="116"/>
    </row>
    <row r="40" spans="1:14" x14ac:dyDescent="0.2">
      <c r="A40" s="33" t="s">
        <v>799</v>
      </c>
      <c r="B40" s="2">
        <v>0.3</v>
      </c>
      <c r="C40" s="357" t="s">
        <v>1203</v>
      </c>
      <c r="E40" s="2"/>
    </row>
    <row r="41" spans="1:14" x14ac:dyDescent="0.2">
      <c r="A41" s="33" t="s">
        <v>800</v>
      </c>
      <c r="B41" s="2">
        <v>0.03</v>
      </c>
      <c r="C41" s="41" t="s">
        <v>1203</v>
      </c>
      <c r="E41" s="2"/>
    </row>
    <row r="42" spans="1:14" x14ac:dyDescent="0.2">
      <c r="B42" s="3"/>
      <c r="E42" s="2"/>
    </row>
    <row r="43" spans="1:14" ht="14.25" x14ac:dyDescent="0.2">
      <c r="A43" s="33" t="s">
        <v>801</v>
      </c>
      <c r="B43">
        <f>((B37*B37-B38*B38)*PI()/4)*B39</f>
        <v>3.3940314042781834</v>
      </c>
      <c r="C43" t="s">
        <v>1101</v>
      </c>
      <c r="E43" s="2"/>
    </row>
    <row r="44" spans="1:14" ht="14.25" x14ac:dyDescent="0.2">
      <c r="A44" s="33" t="s">
        <v>802</v>
      </c>
      <c r="B44" s="2">
        <f>B40*B37*B37*PI()/4</f>
        <v>0.64147394995486573</v>
      </c>
      <c r="C44" t="s">
        <v>1101</v>
      </c>
      <c r="E44" s="2"/>
    </row>
    <row r="45" spans="1:14" ht="14.25" x14ac:dyDescent="0.2">
      <c r="A45" s="33" t="s">
        <v>803</v>
      </c>
      <c r="B45" s="359">
        <f>B41*B37*B37*PI()/4</f>
        <v>6.4147394995486579E-2</v>
      </c>
      <c r="C45" t="s">
        <v>1101</v>
      </c>
      <c r="E45" s="2"/>
    </row>
    <row r="46" spans="1:14" ht="14.25" x14ac:dyDescent="0.2">
      <c r="A46" s="33" t="s">
        <v>804</v>
      </c>
      <c r="B46" s="2">
        <f>SUM(B43:B45)</f>
        <v>4.0996527492285351</v>
      </c>
      <c r="C46" t="s">
        <v>1101</v>
      </c>
      <c r="E46" s="2"/>
    </row>
    <row r="47" spans="1:14" ht="14.25" x14ac:dyDescent="0.2">
      <c r="A47" s="33" t="s">
        <v>806</v>
      </c>
      <c r="B47">
        <v>0.8</v>
      </c>
      <c r="C47" t="s">
        <v>1099</v>
      </c>
      <c r="E47" s="2"/>
    </row>
    <row r="48" spans="1:14" x14ac:dyDescent="0.2">
      <c r="A48" s="33" t="s">
        <v>805</v>
      </c>
      <c r="B48" s="2">
        <f>B47*B46</f>
        <v>3.2797221993828281</v>
      </c>
      <c r="C48" s="41" t="s">
        <v>874</v>
      </c>
      <c r="E48" s="2"/>
    </row>
    <row r="49" spans="2:5" x14ac:dyDescent="0.2">
      <c r="B49" s="2"/>
      <c r="C49" s="2"/>
      <c r="D49" s="330"/>
      <c r="E49" s="2"/>
    </row>
    <row r="50" spans="2:5" x14ac:dyDescent="0.2">
      <c r="B50" s="2"/>
      <c r="C50" s="2"/>
      <c r="D50" s="330"/>
      <c r="E50" s="2"/>
    </row>
    <row r="51" spans="2:5" x14ac:dyDescent="0.2">
      <c r="B51" s="2"/>
      <c r="C51" s="2"/>
      <c r="D51" s="242"/>
      <c r="E51" s="2"/>
    </row>
    <row r="52" spans="2:5" x14ac:dyDescent="0.2">
      <c r="B52" s="2"/>
      <c r="C52" s="2"/>
      <c r="D52" s="242"/>
      <c r="E52" s="2"/>
    </row>
    <row r="53" spans="2:5" x14ac:dyDescent="0.2">
      <c r="B53" s="2"/>
      <c r="C53" s="2"/>
      <c r="D53" s="242"/>
      <c r="E53" s="2"/>
    </row>
  </sheetData>
  <phoneticPr fontId="0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A1:AG254"/>
  <sheetViews>
    <sheetView workbookViewId="0"/>
  </sheetViews>
  <sheetFormatPr baseColWidth="10" defaultColWidth="9.140625" defaultRowHeight="12.75" x14ac:dyDescent="0.2"/>
  <cols>
    <col min="1" max="1" width="25.28515625" customWidth="1"/>
    <col min="2" max="2" width="11" customWidth="1"/>
    <col min="3" max="3" width="5" customWidth="1"/>
    <col min="4" max="4" width="20.5703125" customWidth="1"/>
    <col min="5" max="11" width="11.42578125" customWidth="1"/>
    <col min="12" max="14" width="9.140625" customWidth="1"/>
    <col min="15" max="15" width="12.42578125" bestFit="1" customWidth="1"/>
  </cols>
  <sheetData>
    <row r="1" spans="1:33" ht="20.25" x14ac:dyDescent="0.3">
      <c r="A1" s="46" t="s">
        <v>239</v>
      </c>
      <c r="J1" s="241"/>
      <c r="K1" s="241"/>
      <c r="L1" s="241"/>
      <c r="R1" s="237"/>
    </row>
    <row r="2" spans="1:33" ht="15" customHeight="1" x14ac:dyDescent="0.2">
      <c r="J2" s="241"/>
      <c r="L2" s="241"/>
      <c r="R2" s="254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33" x14ac:dyDescent="0.2">
      <c r="B3" s="33" t="s">
        <v>200</v>
      </c>
      <c r="E3" s="2" t="s">
        <v>199</v>
      </c>
      <c r="H3" t="s">
        <v>201</v>
      </c>
      <c r="L3" s="241"/>
    </row>
    <row r="4" spans="1:33" ht="15.75" customHeight="1" x14ac:dyDescent="0.2">
      <c r="A4" s="33" t="s">
        <v>202</v>
      </c>
      <c r="B4" s="17">
        <v>6</v>
      </c>
      <c r="C4" t="s">
        <v>837</v>
      </c>
      <c r="D4" s="33"/>
      <c r="E4" s="10">
        <f>B4</f>
        <v>6</v>
      </c>
      <c r="F4" t="s">
        <v>837</v>
      </c>
      <c r="H4" s="41" t="s">
        <v>727</v>
      </c>
      <c r="J4" s="10">
        <f>E24/E23</f>
        <v>1.2750917431168868E-2</v>
      </c>
      <c r="K4" t="s">
        <v>215</v>
      </c>
      <c r="L4" s="241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33" ht="15.75" customHeight="1" x14ac:dyDescent="0.35">
      <c r="A5" s="33" t="s">
        <v>353</v>
      </c>
      <c r="B5" s="17">
        <v>1.75</v>
      </c>
      <c r="C5" t="s">
        <v>895</v>
      </c>
      <c r="D5" s="41" t="s">
        <v>596</v>
      </c>
      <c r="E5" s="10">
        <f>B5</f>
        <v>1.75</v>
      </c>
      <c r="F5" t="s">
        <v>895</v>
      </c>
      <c r="I5" s="352" t="s">
        <v>725</v>
      </c>
      <c r="J5" s="19">
        <f>1000*J4</f>
        <v>12.750917431168869</v>
      </c>
      <c r="K5" t="s">
        <v>726</v>
      </c>
      <c r="L5" s="241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</row>
    <row r="6" spans="1:33" ht="15.75" customHeight="1" x14ac:dyDescent="0.35">
      <c r="A6" s="33" t="s">
        <v>597</v>
      </c>
      <c r="B6" s="23">
        <f>B4/E23</f>
        <v>2.201834862381213</v>
      </c>
      <c r="C6" t="s">
        <v>595</v>
      </c>
      <c r="D6" s="88" t="s">
        <v>722</v>
      </c>
      <c r="E6" s="23">
        <f>B6</f>
        <v>2.201834862381213</v>
      </c>
      <c r="F6" t="s">
        <v>895</v>
      </c>
      <c r="H6" s="41" t="s">
        <v>354</v>
      </c>
      <c r="J6" s="19">
        <f>1000*((-LN(B33-B5)+LN(B33))*J4-((-LN(B33-B32)+LN(B33))*J4))</f>
        <v>20.194004798429262</v>
      </c>
      <c r="K6" s="18" t="s">
        <v>130</v>
      </c>
      <c r="L6" s="241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</row>
    <row r="7" spans="1:33" ht="15.75" customHeight="1" x14ac:dyDescent="0.2">
      <c r="A7" s="33"/>
      <c r="B7" s="18"/>
      <c r="C7" s="18"/>
      <c r="D7" s="85"/>
      <c r="E7" s="18"/>
      <c r="L7" s="241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</row>
    <row r="8" spans="1:33" ht="15.75" customHeight="1" x14ac:dyDescent="0.3">
      <c r="A8" s="33" t="s">
        <v>365</v>
      </c>
      <c r="B8" s="17">
        <v>1.6530253959412682</v>
      </c>
      <c r="C8" t="s">
        <v>965</v>
      </c>
      <c r="E8" s="10">
        <f>B8</f>
        <v>1.6530253959412682</v>
      </c>
      <c r="F8" t="s">
        <v>965</v>
      </c>
      <c r="L8" s="241"/>
      <c r="R8" s="263" t="s">
        <v>601</v>
      </c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</row>
    <row r="9" spans="1:33" ht="15.75" customHeight="1" x14ac:dyDescent="0.3">
      <c r="A9" s="33" t="s">
        <v>366</v>
      </c>
      <c r="B9" s="17">
        <v>38.5</v>
      </c>
      <c r="C9" t="s">
        <v>995</v>
      </c>
      <c r="E9" s="10">
        <f>0.001*B9</f>
        <v>3.85E-2</v>
      </c>
      <c r="F9" t="s">
        <v>898</v>
      </c>
      <c r="L9" s="241"/>
      <c r="R9" s="263" t="s">
        <v>602</v>
      </c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</row>
    <row r="10" spans="1:33" ht="15.75" customHeight="1" x14ac:dyDescent="0.3">
      <c r="A10" s="33" t="s">
        <v>367</v>
      </c>
      <c r="B10" s="17">
        <v>1.4</v>
      </c>
      <c r="C10" t="s">
        <v>1160</v>
      </c>
      <c r="E10" s="257">
        <f>0.000001*B10</f>
        <v>1.3999999999999999E-6</v>
      </c>
      <c r="F10" t="s">
        <v>212</v>
      </c>
      <c r="L10" s="241"/>
      <c r="R10" s="339" t="s">
        <v>380</v>
      </c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</row>
    <row r="11" spans="1:33" ht="15.75" customHeight="1" x14ac:dyDescent="0.2">
      <c r="A11" s="33"/>
      <c r="B11" s="18"/>
      <c r="C11" s="18"/>
      <c r="E11" s="256"/>
      <c r="H11" s="237" t="s">
        <v>257</v>
      </c>
      <c r="L11" s="241"/>
      <c r="R11" s="340" t="s">
        <v>377</v>
      </c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</row>
    <row r="12" spans="1:33" ht="15.75" customHeight="1" x14ac:dyDescent="0.3">
      <c r="A12" s="33" t="s">
        <v>368</v>
      </c>
      <c r="B12" s="17">
        <v>11022</v>
      </c>
      <c r="C12" t="s">
        <v>965</v>
      </c>
      <c r="E12" s="10">
        <f>B12</f>
        <v>11022</v>
      </c>
      <c r="F12" t="s">
        <v>965</v>
      </c>
      <c r="G12" t="s">
        <v>477</v>
      </c>
      <c r="H12" s="254" t="s">
        <v>243</v>
      </c>
      <c r="L12" s="253" t="s">
        <v>250</v>
      </c>
      <c r="R12" s="341" t="s">
        <v>845</v>
      </c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</row>
    <row r="13" spans="1:33" ht="15.75" customHeight="1" x14ac:dyDescent="0.3">
      <c r="A13" s="33" t="s">
        <v>369</v>
      </c>
      <c r="B13" s="17">
        <v>401.7</v>
      </c>
      <c r="C13" t="s">
        <v>898</v>
      </c>
      <c r="D13" s="85"/>
      <c r="E13" s="10">
        <f>B13</f>
        <v>401.7</v>
      </c>
      <c r="F13" t="s">
        <v>898</v>
      </c>
      <c r="G13" s="362">
        <v>2220</v>
      </c>
      <c r="H13" t="s">
        <v>269</v>
      </c>
      <c r="I13" s="260">
        <f>1/(2*PI()*SQRT(E9*(1-B21*B21)*E10))</f>
        <v>2195.4494461071836</v>
      </c>
      <c r="J13" t="s">
        <v>265</v>
      </c>
      <c r="L13" s="253" t="s">
        <v>255</v>
      </c>
      <c r="R13" s="342">
        <v>0.10168117593888058</v>
      </c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</row>
    <row r="14" spans="1:33" ht="15.75" customHeight="1" x14ac:dyDescent="0.3">
      <c r="A14" s="33" t="s">
        <v>370</v>
      </c>
      <c r="B14" s="17">
        <v>0</v>
      </c>
      <c r="C14" t="s">
        <v>260</v>
      </c>
      <c r="D14" s="85"/>
      <c r="E14" s="272">
        <f>B14*0.000000000001</f>
        <v>0</v>
      </c>
      <c r="F14" t="s">
        <v>212</v>
      </c>
      <c r="H14" t="s">
        <v>267</v>
      </c>
      <c r="I14" s="261">
        <f>1000/I13</f>
        <v>0.45548760039687075</v>
      </c>
      <c r="J14" t="s">
        <v>266</v>
      </c>
      <c r="L14" s="253" t="s">
        <v>251</v>
      </c>
      <c r="R14" s="342">
        <v>-0.10298422903794459</v>
      </c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</row>
    <row r="15" spans="1:33" ht="15.75" customHeight="1" x14ac:dyDescent="0.3">
      <c r="A15" s="33"/>
      <c r="B15" s="18"/>
      <c r="C15" s="18"/>
      <c r="D15" s="85"/>
      <c r="E15" s="31"/>
      <c r="H15" t="s">
        <v>362</v>
      </c>
      <c r="I15" s="271">
        <f>E9-I24</f>
        <v>3.7537500000000001E-3</v>
      </c>
      <c r="J15" t="s">
        <v>898</v>
      </c>
      <c r="L15" s="253" t="s">
        <v>254</v>
      </c>
      <c r="R15" s="342">
        <v>11.60983286832051</v>
      </c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</row>
    <row r="16" spans="1:33" ht="15.75" customHeight="1" x14ac:dyDescent="0.2">
      <c r="A16" s="33" t="s">
        <v>358</v>
      </c>
      <c r="B16" s="269">
        <v>2.1</v>
      </c>
      <c r="C16" t="s">
        <v>834</v>
      </c>
      <c r="D16" s="41" t="s">
        <v>724</v>
      </c>
      <c r="E16" s="29">
        <f>B16/100</f>
        <v>2.1000000000000001E-2</v>
      </c>
      <c r="F16" t="s">
        <v>980</v>
      </c>
      <c r="L16" s="253" t="s">
        <v>256</v>
      </c>
      <c r="R16" s="342">
        <v>2.2002776709666754E-2</v>
      </c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</row>
    <row r="17" spans="1:33" ht="15.75" customHeight="1" x14ac:dyDescent="0.3">
      <c r="A17" s="85" t="s">
        <v>359</v>
      </c>
      <c r="B17" s="270">
        <f>1000*($R$13+$R$15*B16+$R$17*B16^2+$R$19*B16^3+$R$21*B16^4+$R$23*B16^5)/(1+$R$14*B16+$R$16*B16^2+$R$18*B16^3+$R$20*B16^4+$R$22*B16^5)</f>
        <v>23843.259792145258</v>
      </c>
      <c r="C17" t="s">
        <v>837</v>
      </c>
      <c r="D17" s="41" t="s">
        <v>723</v>
      </c>
      <c r="E17" s="16">
        <f>B17</f>
        <v>23843.259792145258</v>
      </c>
      <c r="F17" t="s">
        <v>837</v>
      </c>
      <c r="H17" s="33" t="s">
        <v>364</v>
      </c>
      <c r="I17" s="29">
        <f>B21*B21*B12/($B$20*$B$20)</f>
        <v>1.0719746040638165</v>
      </c>
      <c r="J17" t="s">
        <v>965</v>
      </c>
      <c r="L17" s="241"/>
      <c r="R17" s="342">
        <v>-1.1136954486547923</v>
      </c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</row>
    <row r="18" spans="1:33" ht="15.75" customHeight="1" x14ac:dyDescent="0.3">
      <c r="A18" s="85" t="s">
        <v>360</v>
      </c>
      <c r="B18" s="17">
        <v>5</v>
      </c>
      <c r="C18" t="s">
        <v>361</v>
      </c>
      <c r="D18" s="33"/>
      <c r="E18" s="29">
        <f>1000*B18</f>
        <v>5000</v>
      </c>
      <c r="F18" t="s">
        <v>965</v>
      </c>
      <c r="H18" s="33" t="s">
        <v>363</v>
      </c>
      <c r="I18" s="10">
        <f>B21*B21*E18/(B20*B20)</f>
        <v>0.48628860645246624</v>
      </c>
      <c r="J18" t="s">
        <v>965</v>
      </c>
      <c r="L18" s="241"/>
      <c r="R18" s="342">
        <v>-1.3154143255757434E-3</v>
      </c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</row>
    <row r="19" spans="1:33" ht="15.75" customHeight="1" x14ac:dyDescent="0.2">
      <c r="A19" s="33"/>
      <c r="B19" s="18"/>
      <c r="C19" s="18"/>
      <c r="D19" s="85"/>
      <c r="E19" s="255"/>
      <c r="L19" s="241"/>
      <c r="R19" s="342">
        <v>0.13947545251861668</v>
      </c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</row>
    <row r="20" spans="1:33" ht="15.75" customHeight="1" x14ac:dyDescent="0.3">
      <c r="A20" s="33" t="s">
        <v>261</v>
      </c>
      <c r="B20" s="17">
        <v>96.33</v>
      </c>
      <c r="C20" s="18" t="s">
        <v>721</v>
      </c>
      <c r="D20" s="85"/>
      <c r="E20" s="273" t="s">
        <v>378</v>
      </c>
      <c r="F20" s="273" t="s">
        <v>378</v>
      </c>
      <c r="H20" s="237" t="s">
        <v>258</v>
      </c>
      <c r="L20" s="241"/>
      <c r="R20" s="342">
        <v>2.2555679105447939E-5</v>
      </c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</row>
    <row r="21" spans="1:33" ht="15.75" customHeight="1" x14ac:dyDescent="0.3">
      <c r="A21" s="33" t="s">
        <v>262</v>
      </c>
      <c r="B21" s="17">
        <v>0.95</v>
      </c>
      <c r="C21" s="18"/>
      <c r="D21" s="85"/>
      <c r="E21" s="273" t="s">
        <v>377</v>
      </c>
      <c r="F21" s="273" t="s">
        <v>377</v>
      </c>
      <c r="G21" t="s">
        <v>477</v>
      </c>
      <c r="H21" s="254" t="s">
        <v>244</v>
      </c>
      <c r="L21" s="253" t="s">
        <v>250</v>
      </c>
      <c r="R21" s="342">
        <v>-7.5887149573464346E-3</v>
      </c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</row>
    <row r="22" spans="1:33" ht="15.75" customHeight="1" x14ac:dyDescent="0.3">
      <c r="E22" s="275" t="s">
        <v>383</v>
      </c>
      <c r="F22" s="275" t="s">
        <v>384</v>
      </c>
      <c r="G22" s="362">
        <v>727</v>
      </c>
      <c r="H22" s="41" t="s">
        <v>270</v>
      </c>
      <c r="I22" s="260">
        <f>1/(2*PI()*SQRT(I24*(I25)))</f>
        <v>721.60933665917014</v>
      </c>
      <c r="J22" t="s">
        <v>265</v>
      </c>
      <c r="L22" s="253" t="s">
        <v>251</v>
      </c>
      <c r="R22" s="342">
        <v>9.0100227568697605E-9</v>
      </c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</row>
    <row r="23" spans="1:33" ht="15.75" customHeight="1" x14ac:dyDescent="0.3">
      <c r="A23" s="33" t="s">
        <v>206</v>
      </c>
      <c r="B23" s="19">
        <f>B8+I17</f>
        <v>2.7250000000050845</v>
      </c>
      <c r="C23" t="s">
        <v>965</v>
      </c>
      <c r="D23" s="33" t="s">
        <v>206</v>
      </c>
      <c r="E23" s="10">
        <f>B23</f>
        <v>2.7250000000050845</v>
      </c>
      <c r="F23" s="10">
        <f>E23+I18</f>
        <v>3.2112886064575505</v>
      </c>
      <c r="G23" t="s">
        <v>965</v>
      </c>
      <c r="H23" t="s">
        <v>267</v>
      </c>
      <c r="I23" s="100">
        <f>1000/I22</f>
        <v>1.3857913821205436</v>
      </c>
      <c r="J23" t="s">
        <v>266</v>
      </c>
      <c r="L23" s="253" t="s">
        <v>245</v>
      </c>
      <c r="R23" s="343">
        <v>1.2967836582075207E-4</v>
      </c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</row>
    <row r="24" spans="1:33" ht="15.75" customHeight="1" x14ac:dyDescent="0.3">
      <c r="A24" s="33" t="s">
        <v>209</v>
      </c>
      <c r="B24" s="19">
        <f>1000*E24</f>
        <v>34.746249999999996</v>
      </c>
      <c r="C24" t="s">
        <v>995</v>
      </c>
      <c r="D24" s="33" t="s">
        <v>209</v>
      </c>
      <c r="E24" s="10">
        <f>I24</f>
        <v>3.4746249999999999E-2</v>
      </c>
      <c r="F24" s="10">
        <f>I15</f>
        <v>3.7537500000000001E-3</v>
      </c>
      <c r="G24" t="s">
        <v>898</v>
      </c>
      <c r="H24" t="s">
        <v>268</v>
      </c>
      <c r="I24" s="262">
        <f>$B$21*$B$21*E9</f>
        <v>3.4746249999999999E-2</v>
      </c>
      <c r="J24" t="s">
        <v>898</v>
      </c>
      <c r="L24" s="253" t="s">
        <v>246</v>
      </c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</row>
    <row r="25" spans="1:33" ht="15.75" customHeight="1" x14ac:dyDescent="0.3">
      <c r="A25" s="33" t="s">
        <v>211</v>
      </c>
      <c r="B25" s="19">
        <f>E25*1000000</f>
        <v>1.4</v>
      </c>
      <c r="C25" t="s">
        <v>1160</v>
      </c>
      <c r="D25" s="33" t="s">
        <v>211</v>
      </c>
      <c r="E25" s="257">
        <f>I25</f>
        <v>1.3999999999999999E-6</v>
      </c>
      <c r="F25" s="257">
        <f>B10*0.000001</f>
        <v>1.3999999999999999E-6</v>
      </c>
      <c r="G25" t="s">
        <v>212</v>
      </c>
      <c r="H25" s="33" t="s">
        <v>352</v>
      </c>
      <c r="I25" s="262">
        <f>(E10+B14*($B$20*$B$20)*0.000000000001/($B$21*$B$21))</f>
        <v>1.3999999999999999E-6</v>
      </c>
      <c r="J25" t="s">
        <v>212</v>
      </c>
      <c r="L25" s="253" t="s">
        <v>252</v>
      </c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</row>
    <row r="26" spans="1:33" ht="15.75" customHeight="1" x14ac:dyDescent="0.3">
      <c r="A26" s="33"/>
      <c r="B26" s="18"/>
      <c r="C26" s="18"/>
      <c r="D26" s="85"/>
      <c r="E26" s="255"/>
      <c r="L26" s="253" t="s">
        <v>247</v>
      </c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</row>
    <row r="27" spans="1:33" ht="15.75" customHeight="1" x14ac:dyDescent="0.3">
      <c r="A27" s="33"/>
      <c r="B27" s="18"/>
      <c r="C27" s="18"/>
      <c r="D27" s="85"/>
      <c r="E27" s="255"/>
      <c r="L27" s="253" t="s">
        <v>253</v>
      </c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</row>
    <row r="28" spans="1:33" ht="15.75" customHeight="1" x14ac:dyDescent="0.3">
      <c r="A28" s="33"/>
      <c r="B28" s="18"/>
      <c r="C28" s="18"/>
      <c r="D28" s="116" t="s">
        <v>356</v>
      </c>
      <c r="E28" s="116" t="s">
        <v>357</v>
      </c>
      <c r="L28" s="253" t="s">
        <v>248</v>
      </c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</row>
    <row r="29" spans="1:33" ht="15.75" customHeight="1" x14ac:dyDescent="0.2">
      <c r="A29" s="33"/>
      <c r="B29" s="18"/>
      <c r="C29" s="18"/>
      <c r="D29" s="85"/>
      <c r="E29" s="255"/>
      <c r="L29" s="253" t="s">
        <v>249</v>
      </c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</row>
    <row r="30" spans="1:33" ht="15.75" customHeight="1" x14ac:dyDescent="0.2">
      <c r="A30" s="33"/>
      <c r="B30" s="18"/>
      <c r="C30" s="18"/>
      <c r="D30" s="85"/>
      <c r="E30" s="255"/>
      <c r="K30" s="241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</row>
    <row r="31" spans="1:33" ht="15.75" customHeight="1" x14ac:dyDescent="0.3">
      <c r="E31" t="s">
        <v>376</v>
      </c>
      <c r="I31" s="241"/>
      <c r="K31" s="241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</row>
    <row r="32" spans="1:33" ht="15.75" customHeight="1" x14ac:dyDescent="0.35">
      <c r="A32" s="33" t="s">
        <v>241</v>
      </c>
      <c r="B32" s="17">
        <v>0</v>
      </c>
      <c r="I32" s="258" t="s">
        <v>600</v>
      </c>
      <c r="J32" s="10"/>
      <c r="K32" s="241"/>
    </row>
    <row r="33" spans="1:33" ht="21" x14ac:dyDescent="0.35">
      <c r="A33" s="33" t="s">
        <v>598</v>
      </c>
      <c r="B33" s="23">
        <f>B6</f>
        <v>2.201834862381213</v>
      </c>
      <c r="C33" t="s">
        <v>895</v>
      </c>
      <c r="H33" s="249" t="s">
        <v>233</v>
      </c>
      <c r="I33" s="259" t="s">
        <v>878</v>
      </c>
      <c r="J33" s="250" t="s">
        <v>234</v>
      </c>
      <c r="K33" s="250" t="s">
        <v>235</v>
      </c>
      <c r="P33" s="249" t="s">
        <v>233</v>
      </c>
      <c r="Q33" s="250" t="s">
        <v>878</v>
      </c>
      <c r="R33" s="250" t="s">
        <v>234</v>
      </c>
      <c r="S33" s="250" t="s">
        <v>235</v>
      </c>
      <c r="T33" s="250" t="s">
        <v>686</v>
      </c>
    </row>
    <row r="34" spans="1:33" ht="15.75" customHeight="1" x14ac:dyDescent="0.3">
      <c r="A34" s="33" t="s">
        <v>355</v>
      </c>
      <c r="B34" s="274">
        <f>0.001*J6/26</f>
        <v>7.7669249224727934E-4</v>
      </c>
      <c r="C34" t="s">
        <v>215</v>
      </c>
      <c r="D34" s="2" t="s">
        <v>371</v>
      </c>
      <c r="E34" t="s">
        <v>372</v>
      </c>
      <c r="H34" s="2" t="s">
        <v>236</v>
      </c>
      <c r="I34" s="242" t="s">
        <v>237</v>
      </c>
      <c r="J34" s="242" t="s">
        <v>238</v>
      </c>
      <c r="K34" s="242" t="s">
        <v>238</v>
      </c>
      <c r="P34" s="2" t="s">
        <v>242</v>
      </c>
      <c r="Q34" s="242" t="s">
        <v>237</v>
      </c>
      <c r="R34" s="242" t="s">
        <v>238</v>
      </c>
      <c r="S34" s="242" t="s">
        <v>238</v>
      </c>
    </row>
    <row r="35" spans="1:33" ht="15.75" customHeight="1" x14ac:dyDescent="0.2">
      <c r="A35" s="33" t="s">
        <v>264</v>
      </c>
      <c r="B35" s="268">
        <f>B34/J4</f>
        <v>6.0912675220427683E-2</v>
      </c>
      <c r="H35" s="2">
        <v>0</v>
      </c>
      <c r="I35" s="241">
        <f>B32</f>
        <v>0</v>
      </c>
      <c r="J35" s="241">
        <f t="shared" ref="J35:J61" si="0">$E$68-I35*$E$69</f>
        <v>6</v>
      </c>
      <c r="K35" s="241">
        <f>E$68*(1-EXP(-J$68*H35)*(COS(J$76*H35)+(J$68/J$76)*SIN(H35*J$76)))+B$74*SQRT(E$70/E$71)*EXP(-H35*J$68)*SIN(J$76*H35)</f>
        <v>0</v>
      </c>
      <c r="P35">
        <f t="shared" ref="P35:P61" si="1">H35*1000</f>
        <v>0</v>
      </c>
      <c r="Q35">
        <f t="shared" ref="Q35:Q61" si="2">I35</f>
        <v>0</v>
      </c>
      <c r="R35">
        <f t="shared" ref="R35:R61" si="3">10*J35</f>
        <v>60</v>
      </c>
      <c r="S35">
        <f t="shared" ref="S35:S61" si="4">K35</f>
        <v>0</v>
      </c>
      <c r="T35" s="81">
        <v>0</v>
      </c>
    </row>
    <row r="36" spans="1:33" ht="15.75" customHeight="1" x14ac:dyDescent="0.2">
      <c r="E36" s="33" t="s">
        <v>259</v>
      </c>
      <c r="H36" s="2">
        <f t="shared" ref="H36:H61" si="5">H35+$B$34</f>
        <v>7.7669249224727934E-4</v>
      </c>
      <c r="I36" s="241">
        <f t="shared" ref="I36:I61" si="6">($B$33-$I$35)*(1-EXP(-H36/$J$4))+$I$35</f>
        <v>0.13011654925776162</v>
      </c>
      <c r="J36" s="241">
        <f t="shared" si="0"/>
        <v>5.6454324032719381</v>
      </c>
      <c r="K36" s="241"/>
      <c r="P36">
        <f t="shared" si="1"/>
        <v>0.77669249224727932</v>
      </c>
      <c r="Q36">
        <f t="shared" si="2"/>
        <v>0.13011654925776162</v>
      </c>
      <c r="R36">
        <f t="shared" si="3"/>
        <v>56.454324032719384</v>
      </c>
      <c r="S36">
        <f t="shared" si="4"/>
        <v>0</v>
      </c>
      <c r="T36" s="245">
        <f t="shared" ref="T36:T67" si="7">(0.5*(Q35+Q36))^2*0.001*(P36-P35)</f>
        <v>3.2874124080161607E-6</v>
      </c>
    </row>
    <row r="37" spans="1:33" ht="12.75" customHeight="1" x14ac:dyDescent="0.2">
      <c r="H37" s="2">
        <f t="shared" si="5"/>
        <v>1.5533849844945587E-3</v>
      </c>
      <c r="I37" s="241">
        <f t="shared" si="6"/>
        <v>0.25254391315471103</v>
      </c>
      <c r="J37" s="241">
        <f t="shared" si="0"/>
        <v>5.3118178366521285</v>
      </c>
      <c r="K37" s="241"/>
      <c r="P37">
        <f t="shared" si="1"/>
        <v>1.5533849844945586</v>
      </c>
      <c r="Q37">
        <f t="shared" si="2"/>
        <v>0.25254391315471103</v>
      </c>
      <c r="R37">
        <f t="shared" si="3"/>
        <v>53.118178366521285</v>
      </c>
      <c r="S37">
        <f t="shared" si="4"/>
        <v>0</v>
      </c>
      <c r="T37" s="245">
        <f t="shared" si="7"/>
        <v>2.8432581963708376E-5</v>
      </c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</row>
    <row r="38" spans="1:33" ht="12.75" customHeight="1" x14ac:dyDescent="0.2">
      <c r="H38" s="2">
        <f t="shared" si="5"/>
        <v>2.3300774767418381E-3</v>
      </c>
      <c r="I38" s="241">
        <f t="shared" si="6"/>
        <v>0.36773648101987833</v>
      </c>
      <c r="J38" s="241">
        <f t="shared" si="0"/>
        <v>4.9979180892189614</v>
      </c>
      <c r="K38" s="241"/>
      <c r="P38">
        <f t="shared" si="1"/>
        <v>2.3300774767418382</v>
      </c>
      <c r="Q38">
        <f t="shared" si="2"/>
        <v>0.36773648101987833</v>
      </c>
      <c r="R38">
        <f t="shared" si="3"/>
        <v>49.979180892189618</v>
      </c>
      <c r="S38">
        <f t="shared" si="4"/>
        <v>0</v>
      </c>
      <c r="T38" s="245">
        <f t="shared" si="7"/>
        <v>7.4707675586612682E-5</v>
      </c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</row>
    <row r="39" spans="1:33" ht="15.75" x14ac:dyDescent="0.3">
      <c r="D39" s="2" t="s">
        <v>373</v>
      </c>
      <c r="E39" t="s">
        <v>374</v>
      </c>
      <c r="H39" s="2">
        <f t="shared" si="5"/>
        <v>3.1067699689891174E-3</v>
      </c>
      <c r="I39" s="241">
        <f t="shared" si="6"/>
        <v>0.47612179022689788</v>
      </c>
      <c r="J39" s="241">
        <f t="shared" si="0"/>
        <v>4.7025681216292821</v>
      </c>
      <c r="K39" s="241"/>
      <c r="P39">
        <f t="shared" si="1"/>
        <v>3.1067699689891173</v>
      </c>
      <c r="Q39">
        <f t="shared" si="2"/>
        <v>0.47612179022689788</v>
      </c>
      <c r="R39">
        <f t="shared" si="3"/>
        <v>47.025681216292824</v>
      </c>
      <c r="S39">
        <f t="shared" si="4"/>
        <v>0</v>
      </c>
      <c r="T39" s="245">
        <f t="shared" si="7"/>
        <v>1.3827005607381341E-4</v>
      </c>
    </row>
    <row r="40" spans="1:33" ht="12.75" customHeight="1" x14ac:dyDescent="0.3">
      <c r="F40" s="2" t="s">
        <v>375</v>
      </c>
      <c r="H40" s="2">
        <f t="shared" si="5"/>
        <v>3.8834624612363966E-3</v>
      </c>
      <c r="I40" s="241">
        <f t="shared" si="6"/>
        <v>0.57810211299955705</v>
      </c>
      <c r="J40" s="241">
        <f t="shared" si="0"/>
        <v>4.4246717420732677</v>
      </c>
      <c r="K40" s="241"/>
      <c r="P40">
        <f t="shared" si="1"/>
        <v>3.8834624612363964</v>
      </c>
      <c r="Q40">
        <f t="shared" si="2"/>
        <v>0.57810211299955705</v>
      </c>
      <c r="R40">
        <f t="shared" si="3"/>
        <v>44.246717420732679</v>
      </c>
      <c r="S40">
        <f t="shared" si="4"/>
        <v>0</v>
      </c>
      <c r="T40" s="245">
        <f t="shared" si="7"/>
        <v>2.1580168629803186E-4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</row>
    <row r="41" spans="1:33" x14ac:dyDescent="0.2">
      <c r="H41" s="2">
        <f t="shared" si="5"/>
        <v>4.6601549534836762E-3</v>
      </c>
      <c r="I41" s="241">
        <f t="shared" si="6"/>
        <v>0.67405594944570768</v>
      </c>
      <c r="J41" s="241">
        <f t="shared" si="0"/>
        <v>4.1631975377570196</v>
      </c>
      <c r="K41" s="241"/>
      <c r="P41">
        <f t="shared" si="1"/>
        <v>4.6601549534836764</v>
      </c>
      <c r="Q41">
        <f t="shared" si="2"/>
        <v>0.67405594944570768</v>
      </c>
      <c r="R41">
        <f t="shared" si="3"/>
        <v>41.6319753775702</v>
      </c>
      <c r="S41">
        <f t="shared" si="4"/>
        <v>0</v>
      </c>
      <c r="T41" s="245">
        <f t="shared" si="7"/>
        <v>3.0444400340556935E-4</v>
      </c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</row>
    <row r="42" spans="1:33" x14ac:dyDescent="0.2">
      <c r="H42" s="2">
        <f t="shared" si="5"/>
        <v>5.4368474457309555E-3</v>
      </c>
      <c r="I42" s="241">
        <f t="shared" si="6"/>
        <v>0.76433943236093305</v>
      </c>
      <c r="J42" s="241">
        <f t="shared" si="0"/>
        <v>3.917175046812571</v>
      </c>
      <c r="K42" s="241"/>
      <c r="P42">
        <f t="shared" si="1"/>
        <v>5.4368474457309555</v>
      </c>
      <c r="Q42">
        <f t="shared" si="2"/>
        <v>0.76433943236093305</v>
      </c>
      <c r="R42">
        <f t="shared" si="3"/>
        <v>39.171750468125708</v>
      </c>
      <c r="S42">
        <f t="shared" si="4"/>
        <v>0</v>
      </c>
      <c r="T42" s="245">
        <f t="shared" si="7"/>
        <v>4.0174055560719077E-4</v>
      </c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</row>
    <row r="43" spans="1:33" x14ac:dyDescent="0.2">
      <c r="H43" s="2">
        <f t="shared" si="5"/>
        <v>6.2135399379782347E-3</v>
      </c>
      <c r="I43" s="241">
        <f t="shared" si="6"/>
        <v>0.84928764901591014</v>
      </c>
      <c r="J43" s="241">
        <f t="shared" si="0"/>
        <v>3.6856911564273265</v>
      </c>
      <c r="K43" s="241"/>
      <c r="P43">
        <f t="shared" si="1"/>
        <v>6.2135399379782346</v>
      </c>
      <c r="Q43">
        <f t="shared" si="2"/>
        <v>0.84928764901591014</v>
      </c>
      <c r="R43">
        <f t="shared" si="3"/>
        <v>36.856911564273261</v>
      </c>
      <c r="S43">
        <f t="shared" si="4"/>
        <v>0</v>
      </c>
      <c r="T43" s="245">
        <f t="shared" si="7"/>
        <v>5.0558649390935041E-4</v>
      </c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</row>
    <row r="44" spans="1:33" x14ac:dyDescent="0.2">
      <c r="H44" s="2">
        <f t="shared" si="5"/>
        <v>6.9902324302255139E-3</v>
      </c>
      <c r="I44" s="241">
        <f t="shared" si="6"/>
        <v>0.92921588483327233</v>
      </c>
      <c r="J44" s="241">
        <f t="shared" si="0"/>
        <v>3.4678867138246083</v>
      </c>
      <c r="K44" s="241"/>
      <c r="P44">
        <f t="shared" si="1"/>
        <v>6.9902324302255137</v>
      </c>
      <c r="Q44">
        <f t="shared" si="2"/>
        <v>0.92921588483327233</v>
      </c>
      <c r="R44">
        <f t="shared" si="3"/>
        <v>34.678867138246083</v>
      </c>
      <c r="S44">
        <f t="shared" si="4"/>
        <v>0</v>
      </c>
      <c r="T44" s="245">
        <f t="shared" si="7"/>
        <v>6.1418411626091034E-4</v>
      </c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</row>
    <row r="45" spans="1:33" x14ac:dyDescent="0.2">
      <c r="H45" s="2">
        <f t="shared" si="5"/>
        <v>7.7669249224727932E-3</v>
      </c>
      <c r="I45" s="241">
        <f t="shared" si="6"/>
        <v>1.0044207935698883</v>
      </c>
      <c r="J45" s="241">
        <f t="shared" si="0"/>
        <v>3.2629533375169473</v>
      </c>
      <c r="K45" s="241"/>
      <c r="P45">
        <f t="shared" si="1"/>
        <v>7.7669249224727928</v>
      </c>
      <c r="Q45">
        <f t="shared" si="2"/>
        <v>1.0044207935698883</v>
      </c>
      <c r="R45">
        <f t="shared" si="3"/>
        <v>32.629533375169473</v>
      </c>
      <c r="S45">
        <f t="shared" si="4"/>
        <v>0</v>
      </c>
      <c r="T45" s="245">
        <f t="shared" si="7"/>
        <v>7.2600375459999904E-4</v>
      </c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</row>
    <row r="46" spans="1:33" x14ac:dyDescent="0.2">
      <c r="H46" s="2">
        <f t="shared" si="5"/>
        <v>8.5436174147200724E-3</v>
      </c>
      <c r="I46" s="241">
        <f t="shared" si="6"/>
        <v>1.0751814983476886</v>
      </c>
      <c r="J46" s="241">
        <f t="shared" si="0"/>
        <v>3.070130416997082</v>
      </c>
      <c r="K46" s="241"/>
      <c r="P46">
        <f t="shared" si="1"/>
        <v>8.5436174147200727</v>
      </c>
      <c r="Q46">
        <f t="shared" si="2"/>
        <v>1.0751814983476886</v>
      </c>
      <c r="R46">
        <f t="shared" si="3"/>
        <v>30.701304169970818</v>
      </c>
      <c r="S46">
        <f t="shared" si="4"/>
        <v>0</v>
      </c>
      <c r="T46" s="245">
        <f t="shared" si="7"/>
        <v>8.3974937757036146E-4</v>
      </c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</row>
    <row r="47" spans="1:33" x14ac:dyDescent="0.2">
      <c r="H47" s="2">
        <f t="shared" si="5"/>
        <v>9.3203099069673525E-3</v>
      </c>
      <c r="I47" s="241">
        <f t="shared" si="6"/>
        <v>1.141760627619514</v>
      </c>
      <c r="J47" s="241">
        <f t="shared" si="0"/>
        <v>2.8887022897310191</v>
      </c>
      <c r="K47" s="241"/>
      <c r="P47">
        <f t="shared" si="1"/>
        <v>9.3203099069673527</v>
      </c>
      <c r="Q47">
        <f t="shared" si="2"/>
        <v>1.141760627619514</v>
      </c>
      <c r="R47">
        <f t="shared" si="3"/>
        <v>28.887022897310189</v>
      </c>
      <c r="S47">
        <f t="shared" si="4"/>
        <v>0</v>
      </c>
      <c r="T47" s="245">
        <f t="shared" si="7"/>
        <v>9.5432835446993751E-4</v>
      </c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</row>
    <row r="48" spans="1:33" x14ac:dyDescent="0.2">
      <c r="H48" s="2">
        <f t="shared" si="5"/>
        <v>1.0097002399214633E-2</v>
      </c>
      <c r="I48" s="241">
        <f t="shared" si="6"/>
        <v>1.2044052899149802</v>
      </c>
      <c r="J48" s="241">
        <f t="shared" si="0"/>
        <v>2.7179955849755553</v>
      </c>
      <c r="K48" s="241"/>
      <c r="P48">
        <f t="shared" si="1"/>
        <v>10.097002399214633</v>
      </c>
      <c r="Q48">
        <f t="shared" si="2"/>
        <v>1.2044052899149802</v>
      </c>
      <c r="R48">
        <f t="shared" si="3"/>
        <v>27.179955849755551</v>
      </c>
      <c r="S48">
        <f t="shared" si="4"/>
        <v>0</v>
      </c>
      <c r="T48" s="245">
        <f t="shared" si="7"/>
        <v>1.0688248903882849E-3</v>
      </c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</row>
    <row r="49" spans="8:21" x14ac:dyDescent="0.2">
      <c r="H49" s="2">
        <f t="shared" si="5"/>
        <v>1.0873694891461913E-2</v>
      </c>
      <c r="I49" s="241">
        <f t="shared" si="6"/>
        <v>1.2633479909841219</v>
      </c>
      <c r="J49" s="241">
        <f t="shared" si="0"/>
        <v>2.5573767245618444</v>
      </c>
      <c r="K49" s="241"/>
      <c r="P49">
        <f t="shared" si="1"/>
        <v>10.873694891461913</v>
      </c>
      <c r="Q49">
        <f t="shared" si="2"/>
        <v>1.2633479909841219</v>
      </c>
      <c r="R49">
        <f t="shared" si="3"/>
        <v>25.573767245618445</v>
      </c>
      <c r="S49">
        <f t="shared" si="4"/>
        <v>0</v>
      </c>
      <c r="T49" s="245">
        <f t="shared" si="7"/>
        <v>1.1824766994501504E-3</v>
      </c>
    </row>
    <row r="50" spans="8:21" x14ac:dyDescent="0.2">
      <c r="H50" s="2">
        <f t="shared" si="5"/>
        <v>1.1650387383709193E-2</v>
      </c>
      <c r="I50" s="241">
        <f t="shared" si="6"/>
        <v>1.3188074967428061</v>
      </c>
      <c r="J50" s="241">
        <f t="shared" si="0"/>
        <v>2.4062495713691479</v>
      </c>
      <c r="K50" s="241"/>
      <c r="P50">
        <f t="shared" si="1"/>
        <v>11.650387383709193</v>
      </c>
      <c r="Q50">
        <f t="shared" si="2"/>
        <v>1.3188074967428061</v>
      </c>
      <c r="R50">
        <f t="shared" si="3"/>
        <v>24.062495713691479</v>
      </c>
      <c r="S50">
        <f t="shared" si="4"/>
        <v>0</v>
      </c>
      <c r="T50" s="245">
        <f t="shared" si="7"/>
        <v>1.2946545334654351E-3</v>
      </c>
    </row>
    <row r="51" spans="8:21" x14ac:dyDescent="0.2">
      <c r="H51" s="2">
        <f t="shared" si="5"/>
        <v>1.2427079875956473E-2</v>
      </c>
      <c r="I51" s="241">
        <f t="shared" si="6"/>
        <v>1.3709896452227264</v>
      </c>
      <c r="J51" s="241">
        <f t="shared" si="0"/>
        <v>2.2640532167610998</v>
      </c>
      <c r="K51" s="241"/>
      <c r="P51">
        <f t="shared" si="1"/>
        <v>12.427079875956473</v>
      </c>
      <c r="Q51">
        <f t="shared" si="2"/>
        <v>1.3709896452227264</v>
      </c>
      <c r="R51">
        <f t="shared" si="3"/>
        <v>22.640532167610999</v>
      </c>
      <c r="S51">
        <f t="shared" si="4"/>
        <v>0</v>
      </c>
      <c r="T51" s="245">
        <f t="shared" si="7"/>
        <v>1.4048442278479995E-3</v>
      </c>
    </row>
    <row r="52" spans="8:21" x14ac:dyDescent="0.2">
      <c r="H52" s="2">
        <f t="shared" si="5"/>
        <v>1.3203772368203753E-2</v>
      </c>
      <c r="I52" s="241">
        <f t="shared" si="6"/>
        <v>1.4200881105395413</v>
      </c>
      <c r="J52" s="241">
        <f t="shared" si="0"/>
        <v>2.1302598987725294</v>
      </c>
      <c r="K52" s="241"/>
      <c r="P52">
        <f t="shared" si="1"/>
        <v>13.203772368203753</v>
      </c>
      <c r="Q52">
        <f t="shared" si="2"/>
        <v>1.4200881105395413</v>
      </c>
      <c r="R52">
        <f t="shared" si="3"/>
        <v>21.302598987725293</v>
      </c>
      <c r="S52">
        <f t="shared" si="4"/>
        <v>0</v>
      </c>
      <c r="T52" s="245">
        <f t="shared" si="7"/>
        <v>1.5126309660773531E-3</v>
      </c>
    </row>
    <row r="53" spans="8:21" x14ac:dyDescent="0.2">
      <c r="H53" s="2">
        <f t="shared" si="5"/>
        <v>1.3980464860451033E-2</v>
      </c>
      <c r="I53" s="241">
        <f t="shared" si="6"/>
        <v>1.4662851217146196</v>
      </c>
      <c r="J53" s="241">
        <f t="shared" si="0"/>
        <v>2.0043730433202063</v>
      </c>
      <c r="K53" s="241"/>
      <c r="P53">
        <f t="shared" si="1"/>
        <v>13.980464860451033</v>
      </c>
      <c r="Q53">
        <f t="shared" si="2"/>
        <v>1.4662851217146196</v>
      </c>
      <c r="R53">
        <f t="shared" si="3"/>
        <v>20.043730433202064</v>
      </c>
      <c r="S53">
        <f t="shared" si="4"/>
        <v>0</v>
      </c>
      <c r="T53" s="245">
        <f t="shared" si="7"/>
        <v>1.6176854988313677E-3</v>
      </c>
    </row>
    <row r="54" spans="8:21" x14ac:dyDescent="0.2">
      <c r="H54" s="2">
        <f t="shared" si="5"/>
        <v>1.4757157352698313E-2</v>
      </c>
      <c r="I54" s="241">
        <f t="shared" si="6"/>
        <v>1.5097521390183037</v>
      </c>
      <c r="J54" s="241">
        <f t="shared" si="0"/>
        <v>1.8859254211674461</v>
      </c>
      <c r="K54" s="241"/>
      <c r="P54">
        <f t="shared" si="1"/>
        <v>14.757157352698313</v>
      </c>
      <c r="Q54">
        <f t="shared" si="2"/>
        <v>1.5097521390183037</v>
      </c>
      <c r="R54">
        <f t="shared" si="3"/>
        <v>18.859254211674461</v>
      </c>
      <c r="S54">
        <f t="shared" si="4"/>
        <v>0</v>
      </c>
      <c r="T54" s="245">
        <f t="shared" si="7"/>
        <v>1.7197520847396417E-3</v>
      </c>
    </row>
    <row r="55" spans="8:21" x14ac:dyDescent="0.2">
      <c r="H55" s="2">
        <f t="shared" si="5"/>
        <v>1.5533849844945593E-2</v>
      </c>
      <c r="I55" s="241">
        <f t="shared" si="6"/>
        <v>1.5506504903449367</v>
      </c>
      <c r="J55" s="241">
        <f t="shared" si="0"/>
        <v>1.7744774138021633</v>
      </c>
      <c r="K55" s="241"/>
      <c r="P55">
        <f t="shared" si="1"/>
        <v>15.533849844945593</v>
      </c>
      <c r="Q55">
        <f t="shared" si="2"/>
        <v>1.5506504903449367</v>
      </c>
      <c r="R55">
        <f t="shared" si="3"/>
        <v>17.744774138021633</v>
      </c>
      <c r="S55">
        <f t="shared" si="4"/>
        <v>0</v>
      </c>
      <c r="T55" s="245">
        <f t="shared" si="7"/>
        <v>1.8186379469606296E-3</v>
      </c>
    </row>
    <row r="56" spans="8:21" x14ac:dyDescent="0.2">
      <c r="H56" s="2">
        <f t="shared" si="5"/>
        <v>1.6310542337192872E-2</v>
      </c>
      <c r="I56" s="241">
        <f t="shared" si="6"/>
        <v>1.589131969981566</v>
      </c>
      <c r="J56" s="241">
        <f t="shared" si="0"/>
        <v>1.6696153817921529</v>
      </c>
      <c r="K56" s="241"/>
      <c r="P56">
        <f t="shared" si="1"/>
        <v>16.310542337192871</v>
      </c>
      <c r="Q56">
        <f t="shared" si="2"/>
        <v>1.589131969981566</v>
      </c>
      <c r="R56">
        <f t="shared" si="3"/>
        <v>16.696153817921527</v>
      </c>
      <c r="S56">
        <f t="shared" si="4"/>
        <v>0</v>
      </c>
      <c r="T56" s="245">
        <f t="shared" si="7"/>
        <v>1.9142040638823307E-3</v>
      </c>
    </row>
    <row r="57" spans="8:21" x14ac:dyDescent="0.2">
      <c r="H57" s="2">
        <f t="shared" si="5"/>
        <v>1.7087234829440152E-2</v>
      </c>
      <c r="I57" s="241">
        <f t="shared" si="6"/>
        <v>1.625339401992645</v>
      </c>
      <c r="J57" s="241">
        <f t="shared" si="0"/>
        <v>1.570950129561778</v>
      </c>
      <c r="K57" s="241"/>
      <c r="P57">
        <f t="shared" si="1"/>
        <v>17.087234829440153</v>
      </c>
      <c r="Q57">
        <f t="shared" si="2"/>
        <v>1.625339401992645</v>
      </c>
      <c r="R57">
        <f t="shared" si="3"/>
        <v>15.70950129561778</v>
      </c>
      <c r="S57">
        <f t="shared" si="4"/>
        <v>0</v>
      </c>
      <c r="T57" s="245">
        <f t="shared" si="7"/>
        <v>2.0063571335501205E-3</v>
      </c>
    </row>
    <row r="58" spans="8:21" x14ac:dyDescent="0.2">
      <c r="H58" s="2">
        <f t="shared" si="5"/>
        <v>1.7863927321687432E-2</v>
      </c>
      <c r="I58" s="241">
        <f t="shared" si="6"/>
        <v>1.659407170311747</v>
      </c>
      <c r="J58" s="241">
        <f t="shared" si="0"/>
        <v>1.4781154608920524</v>
      </c>
      <c r="K58" s="241"/>
      <c r="P58">
        <f t="shared" si="1"/>
        <v>17.863927321687431</v>
      </c>
      <c r="Q58">
        <f t="shared" si="2"/>
        <v>1.659407170311747</v>
      </c>
      <c r="R58">
        <f t="shared" si="3"/>
        <v>14.781154608920524</v>
      </c>
      <c r="S58">
        <f t="shared" si="4"/>
        <v>0</v>
      </c>
      <c r="T58" s="245">
        <f t="shared" si="7"/>
        <v>2.0950425702580475E-3</v>
      </c>
    </row>
    <row r="59" spans="8:21" x14ac:dyDescent="0.2">
      <c r="H59" s="2">
        <f t="shared" si="5"/>
        <v>1.8640619813934712E-2</v>
      </c>
      <c r="I59" s="241">
        <f t="shared" si="6"/>
        <v>1.6914617175077171</v>
      </c>
      <c r="J59" s="241">
        <f t="shared" si="0"/>
        <v>1.3907668197828711</v>
      </c>
      <c r="K59" s="241"/>
      <c r="P59">
        <f t="shared" si="1"/>
        <v>18.640619813934713</v>
      </c>
      <c r="Q59">
        <f t="shared" si="2"/>
        <v>1.6914617175077171</v>
      </c>
      <c r="R59">
        <f t="shared" si="3"/>
        <v>13.907668197828711</v>
      </c>
      <c r="S59">
        <f t="shared" si="4"/>
        <v>0</v>
      </c>
      <c r="T59" s="245">
        <f t="shared" si="7"/>
        <v>2.1802384083874156E-3</v>
      </c>
    </row>
    <row r="60" spans="8:21" x14ac:dyDescent="0.2">
      <c r="H60" s="2">
        <f t="shared" si="5"/>
        <v>1.9417312306181992E-2</v>
      </c>
      <c r="I60" s="241">
        <f t="shared" si="6"/>
        <v>1.72162201407644</v>
      </c>
      <c r="J60" s="241">
        <f t="shared" si="0"/>
        <v>1.3085800116329471</v>
      </c>
      <c r="K60" s="241"/>
      <c r="P60">
        <f t="shared" si="1"/>
        <v>19.417312306181991</v>
      </c>
      <c r="Q60">
        <f t="shared" si="2"/>
        <v>1.72162201407644</v>
      </c>
      <c r="R60">
        <f t="shared" si="3"/>
        <v>13.085800116329471</v>
      </c>
      <c r="S60">
        <f t="shared" si="4"/>
        <v>0</v>
      </c>
      <c r="T60" s="245">
        <f t="shared" si="7"/>
        <v>2.2619500032891671E-3</v>
      </c>
    </row>
    <row r="61" spans="8:21" x14ac:dyDescent="0.2">
      <c r="H61" s="2">
        <f t="shared" si="5"/>
        <v>2.0194004798429272E-2</v>
      </c>
      <c r="I61" s="241">
        <f t="shared" si="6"/>
        <v>1.7500000000000002</v>
      </c>
      <c r="J61" s="241">
        <f t="shared" si="0"/>
        <v>1.2312499999911015</v>
      </c>
      <c r="K61" s="241"/>
      <c r="P61">
        <f t="shared" si="1"/>
        <v>20.194004798429273</v>
      </c>
      <c r="Q61">
        <f t="shared" si="2"/>
        <v>1.7500000000000002</v>
      </c>
      <c r="R61">
        <f t="shared" si="3"/>
        <v>12.312499999911015</v>
      </c>
      <c r="S61">
        <f t="shared" si="4"/>
        <v>0</v>
      </c>
      <c r="T61" s="245">
        <f t="shared" si="7"/>
        <v>2.3402054320106795E-3</v>
      </c>
      <c r="U61">
        <f>SQRT(SUM(T36:T61))/(0.001*P61)</f>
        <v>8.4654037380161711</v>
      </c>
    </row>
    <row r="62" spans="8:21" x14ac:dyDescent="0.2">
      <c r="P62" s="148">
        <f t="shared" ref="P62:P93" si="8">1000*($H$61+H81)</f>
        <v>20.194004798429273</v>
      </c>
      <c r="Q62" s="252">
        <f t="shared" ref="Q62:Q93" si="9">I81</f>
        <v>1.7500000000000002</v>
      </c>
      <c r="R62" s="252">
        <f t="shared" ref="R62:R93" si="10">J81</f>
        <v>1.2312499999911015</v>
      </c>
      <c r="S62" s="252">
        <f t="shared" ref="S62:S93" si="11">K81</f>
        <v>0</v>
      </c>
      <c r="T62" s="245">
        <f t="shared" si="7"/>
        <v>0</v>
      </c>
    </row>
    <row r="63" spans="8:21" x14ac:dyDescent="0.2">
      <c r="H63" t="s">
        <v>379</v>
      </c>
      <c r="I63" s="241"/>
      <c r="K63" s="241"/>
      <c r="P63" s="25">
        <f t="shared" si="8"/>
        <v>20.221720626071683</v>
      </c>
      <c r="Q63" s="241">
        <f t="shared" si="9"/>
        <v>1.7366999559288314</v>
      </c>
      <c r="R63" s="241">
        <f t="shared" si="10"/>
        <v>-42.206080547600479</v>
      </c>
      <c r="S63" s="241">
        <f t="shared" si="11"/>
        <v>43.473573167685579</v>
      </c>
      <c r="T63" s="245">
        <f t="shared" si="7"/>
        <v>8.4235859800244628E-5</v>
      </c>
    </row>
    <row r="64" spans="8:21" x14ac:dyDescent="0.2">
      <c r="H64" s="2">
        <f>COUNT(H35:H61)</f>
        <v>27</v>
      </c>
      <c r="I64" s="241"/>
      <c r="J64" s="242"/>
      <c r="K64" s="241"/>
      <c r="P64" s="25">
        <f t="shared" si="8"/>
        <v>20.249436453714093</v>
      </c>
      <c r="Q64" s="241">
        <f t="shared" si="9"/>
        <v>1.6960697391803325</v>
      </c>
      <c r="R64" s="241">
        <f t="shared" si="10"/>
        <v>-84.884204551203595</v>
      </c>
      <c r="S64" s="241">
        <f t="shared" si="11"/>
        <v>86.262414511928569</v>
      </c>
      <c r="T64" s="245">
        <f t="shared" si="7"/>
        <v>8.1650189243777705E-5</v>
      </c>
    </row>
    <row r="65" spans="1:20" ht="20.25" x14ac:dyDescent="0.3">
      <c r="A65" s="46" t="s">
        <v>197</v>
      </c>
      <c r="I65" s="241"/>
      <c r="J65" s="242" t="s">
        <v>198</v>
      </c>
      <c r="K65" s="241"/>
      <c r="P65" s="25">
        <f t="shared" si="8"/>
        <v>20.277152281356503</v>
      </c>
      <c r="Q65" s="241">
        <f t="shared" si="9"/>
        <v>1.6288087579324584</v>
      </c>
      <c r="R65" s="241">
        <f t="shared" si="10"/>
        <v>-126.13244190829133</v>
      </c>
      <c r="S65" s="241">
        <f t="shared" si="11"/>
        <v>127.6939380429171</v>
      </c>
      <c r="T65" s="245">
        <f t="shared" si="7"/>
        <v>7.6598350790077095E-5</v>
      </c>
    </row>
    <row r="66" spans="1:20" x14ac:dyDescent="0.2">
      <c r="I66" s="241"/>
      <c r="J66" s="242">
        <f>J69*(2*E70)</f>
        <v>315.07935508376301</v>
      </c>
      <c r="K66" s="241"/>
      <c r="P66" s="25">
        <f t="shared" si="8"/>
        <v>20.304868108998914</v>
      </c>
      <c r="Q66" s="241">
        <f t="shared" si="9"/>
        <v>1.5360344287072618</v>
      </c>
      <c r="R66" s="241">
        <f t="shared" si="10"/>
        <v>-165.30409442261498</v>
      </c>
      <c r="S66" s="241">
        <f t="shared" si="11"/>
        <v>167.11840060437987</v>
      </c>
      <c r="T66" s="245">
        <f t="shared" si="7"/>
        <v>6.940204267860323E-5</v>
      </c>
    </row>
    <row r="67" spans="1:20" x14ac:dyDescent="0.2">
      <c r="A67" t="s">
        <v>200</v>
      </c>
      <c r="E67" s="33" t="s">
        <v>199</v>
      </c>
      <c r="G67" t="s">
        <v>201</v>
      </c>
      <c r="I67" s="241"/>
      <c r="J67" s="241"/>
      <c r="K67" s="241"/>
      <c r="P67" s="25">
        <f t="shared" si="8"/>
        <v>20.332583936641324</v>
      </c>
      <c r="Q67" s="241">
        <f t="shared" si="9"/>
        <v>1.4192636655728157</v>
      </c>
      <c r="R67" s="241">
        <f t="shared" si="10"/>
        <v>-201.78658147358334</v>
      </c>
      <c r="S67" s="241">
        <f t="shared" si="11"/>
        <v>203.91908798489021</v>
      </c>
      <c r="T67" s="245">
        <f t="shared" si="7"/>
        <v>6.051603258412673E-5</v>
      </c>
    </row>
    <row r="68" spans="1:20" ht="14.25" x14ac:dyDescent="0.2">
      <c r="A68" s="33" t="s">
        <v>202</v>
      </c>
      <c r="B68" s="10">
        <f>E68</f>
        <v>6</v>
      </c>
      <c r="C68" t="s">
        <v>837</v>
      </c>
      <c r="D68" s="33" t="s">
        <v>202</v>
      </c>
      <c r="E68" s="10">
        <f>E4</f>
        <v>6</v>
      </c>
      <c r="F68" t="s">
        <v>837</v>
      </c>
      <c r="G68" s="236" t="s">
        <v>203</v>
      </c>
      <c r="H68" s="2">
        <f>J68*J68</f>
        <v>1537.6487578003157</v>
      </c>
      <c r="I68" s="243" t="s">
        <v>204</v>
      </c>
      <c r="J68" s="242">
        <f>E69/(2*E70)</f>
        <v>39.212864697702408</v>
      </c>
      <c r="K68" s="244" t="s">
        <v>205</v>
      </c>
      <c r="P68" s="25">
        <f t="shared" si="8"/>
        <v>20.360299764283738</v>
      </c>
      <c r="Q68" s="241">
        <f t="shared" si="9"/>
        <v>1.2803881160645212</v>
      </c>
      <c r="R68" s="241">
        <f t="shared" si="10"/>
        <v>-235.01101620812764</v>
      </c>
      <c r="S68" s="241">
        <f t="shared" si="11"/>
        <v>237.5219585918453</v>
      </c>
      <c r="T68" s="245">
        <f t="shared" ref="T68:T99" si="12">(0.5*(Q67+Q68))^2*0.001*(P68-P67)</f>
        <v>5.0499067652313058E-5</v>
      </c>
    </row>
    <row r="69" spans="1:20" ht="15.75" x14ac:dyDescent="0.3">
      <c r="A69" s="33" t="s">
        <v>206</v>
      </c>
      <c r="B69" s="10">
        <f>E69</f>
        <v>2.7250000000050845</v>
      </c>
      <c r="C69" t="s">
        <v>965</v>
      </c>
      <c r="D69" s="33" t="s">
        <v>206</v>
      </c>
      <c r="E69" s="10">
        <f>E23</f>
        <v>2.7250000000050845</v>
      </c>
      <c r="F69" t="s">
        <v>965</v>
      </c>
      <c r="G69" s="147" t="s">
        <v>207</v>
      </c>
      <c r="H69" s="2">
        <f>1/(E70*E71)</f>
        <v>20557202.986961596</v>
      </c>
      <c r="I69" s="243" t="s">
        <v>208</v>
      </c>
      <c r="J69" s="242">
        <f>SQRT(H69)</f>
        <v>4534.0051816205059</v>
      </c>
      <c r="K69" s="241"/>
      <c r="P69" s="25">
        <f t="shared" si="8"/>
        <v>20.388015591926148</v>
      </c>
      <c r="Q69" s="241">
        <f t="shared" si="9"/>
        <v>1.1216435475235507</v>
      </c>
      <c r="R69" s="241">
        <f t="shared" si="10"/>
        <v>-264.46107261157852</v>
      </c>
      <c r="S69" s="241">
        <f t="shared" si="11"/>
        <v>267.40459394457116</v>
      </c>
      <c r="T69" s="245">
        <f t="shared" si="12"/>
        <v>3.997839149082913E-5</v>
      </c>
    </row>
    <row r="70" spans="1:20" x14ac:dyDescent="0.2">
      <c r="A70" s="33" t="s">
        <v>209</v>
      </c>
      <c r="B70" s="10">
        <f>1000*E70</f>
        <v>34.746249999999996</v>
      </c>
      <c r="C70" t="s">
        <v>995</v>
      </c>
      <c r="D70" s="33" t="s">
        <v>209</v>
      </c>
      <c r="E70" s="10">
        <f>E24</f>
        <v>3.4746249999999999E-2</v>
      </c>
      <c r="F70" t="s">
        <v>898</v>
      </c>
      <c r="G70" s="2" t="s">
        <v>210</v>
      </c>
      <c r="H70" s="2">
        <f>E68/E70</f>
        <v>172.6805050904774</v>
      </c>
      <c r="I70" s="241"/>
      <c r="J70" s="241"/>
      <c r="K70" s="241"/>
      <c r="P70" s="25">
        <f t="shared" si="8"/>
        <v>20.415731419568559</v>
      </c>
      <c r="Q70" s="241">
        <f t="shared" si="9"/>
        <v>0.94557387882487398</v>
      </c>
      <c r="R70" s="241">
        <f t="shared" si="10"/>
        <v>-289.68100531011629</v>
      </c>
      <c r="S70" s="241">
        <f t="shared" si="11"/>
        <v>293.10431649031369</v>
      </c>
      <c r="T70" s="245">
        <f t="shared" si="12"/>
        <v>2.9610120536847491E-5</v>
      </c>
    </row>
    <row r="71" spans="1:20" ht="15.75" x14ac:dyDescent="0.3">
      <c r="A71" s="33" t="s">
        <v>211</v>
      </c>
      <c r="B71" s="10">
        <f>E71*1000000</f>
        <v>1.4</v>
      </c>
      <c r="C71" t="s">
        <v>1160</v>
      </c>
      <c r="D71" s="33" t="s">
        <v>211</v>
      </c>
      <c r="E71" s="251">
        <f>E25</f>
        <v>1.3999999999999999E-6</v>
      </c>
      <c r="F71" t="s">
        <v>212</v>
      </c>
      <c r="G71" s="113" t="s">
        <v>213</v>
      </c>
      <c r="H71" s="242">
        <f>J69/(2*PI())</f>
        <v>721.60933665917025</v>
      </c>
      <c r="I71" s="241" t="s">
        <v>214</v>
      </c>
      <c r="J71" s="245">
        <f>1/H71</f>
        <v>1.3857913821205433E-3</v>
      </c>
      <c r="K71" s="241" t="s">
        <v>215</v>
      </c>
      <c r="P71" s="25">
        <f t="shared" si="8"/>
        <v>20.443447247210969</v>
      </c>
      <c r="Q71" s="241">
        <f t="shared" si="9"/>
        <v>0.75499043574627966</v>
      </c>
      <c r="R71" s="241">
        <f t="shared" si="10"/>
        <v>-310.28269760472631</v>
      </c>
      <c r="S71" s="241">
        <f t="shared" si="11"/>
        <v>314.22534866731388</v>
      </c>
      <c r="T71" s="245">
        <f t="shared" si="12"/>
        <v>2.0037982056755928E-5</v>
      </c>
    </row>
    <row r="72" spans="1:20" x14ac:dyDescent="0.2">
      <c r="I72" s="241"/>
      <c r="J72" s="241"/>
      <c r="K72" s="241"/>
      <c r="P72" s="25">
        <f t="shared" si="8"/>
        <v>20.471163074853379</v>
      </c>
      <c r="Q72" s="241">
        <f t="shared" si="9"/>
        <v>0.55292708221850251</v>
      </c>
      <c r="R72" s="241">
        <f t="shared" si="10"/>
        <v>-325.95162881564653</v>
      </c>
      <c r="S72" s="241">
        <f t="shared" si="11"/>
        <v>330.44490251659829</v>
      </c>
      <c r="T72" s="245">
        <f t="shared" si="12"/>
        <v>1.185300790119276E-5</v>
      </c>
    </row>
    <row r="73" spans="1:20" x14ac:dyDescent="0.2">
      <c r="A73" t="s">
        <v>216</v>
      </c>
      <c r="B73" s="17">
        <v>0</v>
      </c>
      <c r="E73" t="s">
        <v>217</v>
      </c>
      <c r="I73" s="241"/>
      <c r="J73" s="241"/>
      <c r="K73" s="241"/>
      <c r="P73" s="25">
        <f t="shared" si="8"/>
        <v>20.498878902495793</v>
      </c>
      <c r="Q73" s="241">
        <f t="shared" si="9"/>
        <v>0.34259194324954739</v>
      </c>
      <c r="R73" s="241">
        <f t="shared" si="10"/>
        <v>-336.45166927739211</v>
      </c>
      <c r="S73" s="241">
        <f t="shared" si="11"/>
        <v>341.51810623203534</v>
      </c>
      <c r="T73" s="245">
        <f t="shared" si="12"/>
        <v>5.5567069620255678E-6</v>
      </c>
    </row>
    <row r="74" spans="1:20" ht="21" x14ac:dyDescent="0.35">
      <c r="A74" s="33" t="s">
        <v>240</v>
      </c>
      <c r="B74" s="19">
        <f>E68/E69</f>
        <v>2.201834862381213</v>
      </c>
      <c r="C74" t="s">
        <v>895</v>
      </c>
      <c r="D74" s="33" t="s">
        <v>218</v>
      </c>
      <c r="E74" s="147" t="s">
        <v>219</v>
      </c>
      <c r="F74" t="b">
        <f>IF(H68&gt;H69,TRUE(),FALSE())</f>
        <v>0</v>
      </c>
      <c r="G74" t="s">
        <v>220</v>
      </c>
      <c r="I74" s="246" t="s">
        <v>221</v>
      </c>
      <c r="J74" s="241" t="str">
        <f>IF(F74,SQRT(H68-H69),"")</f>
        <v/>
      </c>
      <c r="K74" s="241"/>
      <c r="L74" t="s">
        <v>478</v>
      </c>
      <c r="P74" s="25">
        <f t="shared" si="8"/>
        <v>20.526594730138203</v>
      </c>
      <c r="Q74" s="241">
        <f t="shared" si="9"/>
        <v>0.12731648745508164</v>
      </c>
      <c r="R74" s="241">
        <f t="shared" si="10"/>
        <v>-341.62862999204367</v>
      </c>
      <c r="S74" s="241">
        <f t="shared" si="11"/>
        <v>347.28169256372792</v>
      </c>
      <c r="T74" s="245">
        <f t="shared" si="12"/>
        <v>1.5300102287311273E-6</v>
      </c>
    </row>
    <row r="75" spans="1:20" ht="15.75" x14ac:dyDescent="0.3">
      <c r="A75" s="33" t="s">
        <v>355</v>
      </c>
      <c r="B75" s="257">
        <f>B76*J71</f>
        <v>2.7715827642410865E-5</v>
      </c>
      <c r="C75" t="s">
        <v>215</v>
      </c>
      <c r="D75" s="33" t="s">
        <v>222</v>
      </c>
      <c r="E75" s="147" t="s">
        <v>223</v>
      </c>
      <c r="F75" t="b">
        <f>IF(H68=H69,TRUE(),FALSE())</f>
        <v>0</v>
      </c>
      <c r="G75" t="s">
        <v>224</v>
      </c>
      <c r="I75" s="246" t="s">
        <v>221</v>
      </c>
      <c r="J75" s="241" t="str">
        <f>IF(F75,0,"")</f>
        <v/>
      </c>
      <c r="K75" s="241"/>
      <c r="L75" t="s">
        <v>479</v>
      </c>
      <c r="P75" s="25">
        <f t="shared" si="8"/>
        <v>20.554310557780614</v>
      </c>
      <c r="Q75" s="241">
        <f t="shared" si="9"/>
        <v>-8.9497222945248922E-2</v>
      </c>
      <c r="R75" s="241">
        <f t="shared" si="10"/>
        <v>-341.41251372541569</v>
      </c>
      <c r="S75" s="241">
        <f t="shared" si="11"/>
        <v>347.65639365794198</v>
      </c>
      <c r="T75" s="245">
        <f t="shared" si="12"/>
        <v>9.9104646752943898E-9</v>
      </c>
    </row>
    <row r="76" spans="1:20" ht="15.75" x14ac:dyDescent="0.3">
      <c r="A76" t="s">
        <v>263</v>
      </c>
      <c r="B76" s="268">
        <v>0.02</v>
      </c>
      <c r="D76" s="33" t="s">
        <v>225</v>
      </c>
      <c r="E76" s="147" t="s">
        <v>226</v>
      </c>
      <c r="F76" t="b">
        <f>IF(H68&lt;H69,TRUE(),FALSE())</f>
        <v>1</v>
      </c>
      <c r="G76" t="s">
        <v>227</v>
      </c>
      <c r="I76" s="246" t="s">
        <v>228</v>
      </c>
      <c r="J76" s="241">
        <f>IF(F76,SQRT(H69-H68),"")</f>
        <v>4533.8356099668845</v>
      </c>
      <c r="K76" s="247" t="s">
        <v>229</v>
      </c>
      <c r="L76" s="10">
        <f>3.739*B5*((2*PI()*I13*2*PI()*I22)/(2*PI()*I13-2*PI()*I22))/1000</f>
        <v>44.192502566236378</v>
      </c>
      <c r="P76" s="25">
        <f t="shared" si="8"/>
        <v>20.582026385423024</v>
      </c>
      <c r="Q76" s="241">
        <f t="shared" si="9"/>
        <v>-0.30443027969105624</v>
      </c>
      <c r="R76" s="241">
        <f t="shared" si="10"/>
        <v>-335.81843490305323</v>
      </c>
      <c r="S76" s="241">
        <f t="shared" si="11"/>
        <v>342.64800741521293</v>
      </c>
      <c r="T76" s="245">
        <f t="shared" si="12"/>
        <v>1.0752277544779542E-6</v>
      </c>
    </row>
    <row r="77" spans="1:20" ht="15.75" x14ac:dyDescent="0.3">
      <c r="D77" s="33"/>
      <c r="E77" s="147"/>
      <c r="G77" s="248" t="s">
        <v>230</v>
      </c>
      <c r="H77" s="242">
        <f>J76/(2*PI())</f>
        <v>721.58234849228813</v>
      </c>
      <c r="I77" s="246"/>
      <c r="J77" s="241"/>
      <c r="K77" s="247"/>
      <c r="P77" s="25">
        <f t="shared" si="8"/>
        <v>20.609742213065434</v>
      </c>
      <c r="Q77" s="241">
        <f t="shared" si="9"/>
        <v>-0.51410082472738738</v>
      </c>
      <c r="R77" s="241">
        <f t="shared" si="10"/>
        <v>-324.94619670490204</v>
      </c>
      <c r="S77" s="241">
        <f t="shared" si="11"/>
        <v>332.34712145228679</v>
      </c>
      <c r="T77" s="245">
        <f t="shared" si="12"/>
        <v>4.6423537977094814E-6</v>
      </c>
    </row>
    <row r="78" spans="1:20" ht="15.75" x14ac:dyDescent="0.3">
      <c r="I78" s="241"/>
      <c r="J78" s="241" t="s">
        <v>232</v>
      </c>
      <c r="K78" s="241"/>
      <c r="P78" s="25">
        <f t="shared" si="8"/>
        <v>20.637458040707845</v>
      </c>
      <c r="Q78" s="241">
        <f t="shared" si="9"/>
        <v>-0.71521724575811785</v>
      </c>
      <c r="R78" s="241">
        <f t="shared" si="10"/>
        <v>-308.97853493646721</v>
      </c>
      <c r="S78" s="241">
        <f t="shared" si="11"/>
        <v>316.92750193116171</v>
      </c>
      <c r="T78" s="245">
        <f t="shared" si="12"/>
        <v>1.0471198484062538E-5</v>
      </c>
    </row>
    <row r="79" spans="1:20" ht="14.25" x14ac:dyDescent="0.25">
      <c r="H79" s="249" t="s">
        <v>233</v>
      </c>
      <c r="I79" s="250" t="s">
        <v>878</v>
      </c>
      <c r="J79" s="250" t="s">
        <v>234</v>
      </c>
      <c r="K79" s="250" t="s">
        <v>235</v>
      </c>
      <c r="L79" s="250" t="s">
        <v>386</v>
      </c>
      <c r="M79" s="250" t="s">
        <v>390</v>
      </c>
      <c r="P79" s="25">
        <f t="shared" si="8"/>
        <v>20.665173868350259</v>
      </c>
      <c r="Q79" s="241">
        <f t="shared" si="9"/>
        <v>-0.90462983461340252</v>
      </c>
      <c r="R79" s="241">
        <f t="shared" si="10"/>
        <v>-288.17805923637673</v>
      </c>
      <c r="S79" s="241">
        <f t="shared" si="11"/>
        <v>296.64317553570282</v>
      </c>
      <c r="T79" s="245">
        <f t="shared" si="12"/>
        <v>1.8180921660023802E-5</v>
      </c>
    </row>
    <row r="80" spans="1:20" x14ac:dyDescent="0.2">
      <c r="H80" s="2" t="s">
        <v>236</v>
      </c>
      <c r="I80" s="242" t="s">
        <v>237</v>
      </c>
      <c r="J80" s="242" t="s">
        <v>238</v>
      </c>
      <c r="K80" s="242" t="s">
        <v>238</v>
      </c>
      <c r="L80" s="242" t="s">
        <v>385</v>
      </c>
      <c r="M80" s="242" t="s">
        <v>238</v>
      </c>
      <c r="P80" s="25">
        <f t="shared" si="8"/>
        <v>20.692889695992669</v>
      </c>
      <c r="Q80" s="241">
        <f t="shared" si="9"/>
        <v>-1.0793800979702826</v>
      </c>
      <c r="R80" s="241">
        <f t="shared" si="10"/>
        <v>-262.88294263538268</v>
      </c>
      <c r="S80" s="241">
        <f t="shared" si="11"/>
        <v>271.82425340235716</v>
      </c>
      <c r="T80" s="245">
        <f t="shared" si="12"/>
        <v>2.7274421301243692E-5</v>
      </c>
    </row>
    <row r="81" spans="1:20" x14ac:dyDescent="0.2">
      <c r="H81" s="2">
        <v>0</v>
      </c>
      <c r="I81" s="114">
        <f>(E68/(2*J76*E70))*EXP(-H81*J68)*SIN(J76*H81)+I61*EXP(-H81*J68)*COS(J76*H81)</f>
        <v>1.7500000000000002</v>
      </c>
      <c r="J81" s="242">
        <f>E68-I81*E69-K81</f>
        <v>1.2312499999911015</v>
      </c>
      <c r="K81" s="242">
        <f>E68*(1-EXP(-J68*H81)*(COS(J76*H81)+(J68/J76)*SIN(H81*J76)))+B74*SQRT(E70/E71)*EXP(-H81*J68)*SIN(J76*H81)</f>
        <v>0</v>
      </c>
      <c r="L81" s="2">
        <f t="shared" ref="L81:L112" si="13">-0.001*$B$20*J81</f>
        <v>-0.1186063124991428</v>
      </c>
      <c r="M81">
        <f t="shared" ref="M81:M112" si="14">I81*E$69</f>
        <v>4.7687500000088985</v>
      </c>
      <c r="P81" s="25">
        <f t="shared" si="8"/>
        <v>20.720605523635079</v>
      </c>
      <c r="Q81" s="241">
        <f t="shared" si="9"/>
        <v>-1.2367469487088858</v>
      </c>
      <c r="R81" s="241">
        <f t="shared" si="10"/>
        <v>-233.50143008887505</v>
      </c>
      <c r="S81" s="241">
        <f t="shared" si="11"/>
        <v>242.87156552411307</v>
      </c>
      <c r="T81" s="245">
        <f t="shared" si="12"/>
        <v>3.7170004764589044E-5</v>
      </c>
    </row>
    <row r="82" spans="1:20" x14ac:dyDescent="0.2">
      <c r="H82" s="2">
        <f t="shared" ref="H82:H113" si="15">H81+$B$75</f>
        <v>2.7715827642410865E-5</v>
      </c>
      <c r="I82" s="114">
        <f t="shared" ref="I82:I113" si="16">($E$68/(2*$J$76*$E$70))*EXP(-H82*$J$68)*SIN($J$76*H82)+$I$61*EXP(-H82*$J$68)*COS($J$76*H82)</f>
        <v>1.7366999559288314</v>
      </c>
      <c r="J82" s="242">
        <f t="shared" ref="J82:J113" si="17">$E$68-I82*$E$69-K82</f>
        <v>-42.206080547600479</v>
      </c>
      <c r="K82" s="242">
        <f t="shared" ref="K82:K113" si="18">E$68*(1-EXP(-J$68*H82)*(COS(J$76*H82)+(J$68/J$76)*SIN(H82*J$76)))+B$74*SQRT(E$70/E$71)*EXP(-H82*J$68)*SIN(J$76*H82)</f>
        <v>43.473573167685579</v>
      </c>
      <c r="L82" s="2">
        <f t="shared" si="13"/>
        <v>4.0657117391503537</v>
      </c>
      <c r="M82">
        <f t="shared" si="14"/>
        <v>4.732507379914896</v>
      </c>
      <c r="P82" s="25">
        <f t="shared" si="8"/>
        <v>20.74832135127749</v>
      </c>
      <c r="Q82" s="241">
        <f t="shared" si="9"/>
        <v>-1.3742890570030515</v>
      </c>
      <c r="R82" s="241">
        <f t="shared" si="10"/>
        <v>-200.50525505690823</v>
      </c>
      <c r="S82" s="241">
        <f t="shared" si="11"/>
        <v>210.25019273724854</v>
      </c>
      <c r="T82" s="245">
        <f t="shared" si="12"/>
        <v>4.7238226258871499E-5</v>
      </c>
    </row>
    <row r="83" spans="1:20" x14ac:dyDescent="0.2">
      <c r="H83" s="2">
        <f t="shared" si="15"/>
        <v>5.543165528482173E-5</v>
      </c>
      <c r="I83" s="114">
        <f t="shared" si="16"/>
        <v>1.6960697391803325</v>
      </c>
      <c r="J83" s="242">
        <f t="shared" si="17"/>
        <v>-84.884204551203595</v>
      </c>
      <c r="K83" s="242">
        <f t="shared" si="18"/>
        <v>86.262414511928569</v>
      </c>
      <c r="L83" s="2">
        <f t="shared" si="13"/>
        <v>8.1768954244174417</v>
      </c>
      <c r="M83">
        <f t="shared" si="14"/>
        <v>4.6217900392750302</v>
      </c>
      <c r="P83" s="25">
        <f t="shared" si="8"/>
        <v>20.7760371789199</v>
      </c>
      <c r="Q83" s="241">
        <f t="shared" si="9"/>
        <v>-1.4898827023070251</v>
      </c>
      <c r="R83" s="241">
        <f t="shared" si="10"/>
        <v>-164.42207021437565</v>
      </c>
      <c r="S83" s="241">
        <f t="shared" si="11"/>
        <v>174.48200057816987</v>
      </c>
      <c r="T83" s="245">
        <f t="shared" si="12"/>
        <v>5.6841558514256579E-5</v>
      </c>
    </row>
    <row r="84" spans="1:20" x14ac:dyDescent="0.2">
      <c r="H84" s="2">
        <f t="shared" si="15"/>
        <v>8.3147482927232595E-5</v>
      </c>
      <c r="I84" s="114">
        <f t="shared" si="16"/>
        <v>1.6288087579324584</v>
      </c>
      <c r="J84" s="242">
        <f t="shared" si="17"/>
        <v>-126.13244190829133</v>
      </c>
      <c r="K84" s="242">
        <f t="shared" si="18"/>
        <v>127.6939380429171</v>
      </c>
      <c r="L84" s="2">
        <f t="shared" si="13"/>
        <v>12.150338129025704</v>
      </c>
      <c r="M84">
        <f t="shared" si="14"/>
        <v>4.4385038653742308</v>
      </c>
      <c r="P84" s="25">
        <f t="shared" si="8"/>
        <v>20.80375300656231</v>
      </c>
      <c r="Q84" s="241">
        <f t="shared" si="9"/>
        <v>-1.5817545397068564</v>
      </c>
      <c r="R84" s="241">
        <f t="shared" si="10"/>
        <v>-125.82701367450744</v>
      </c>
      <c r="S84" s="241">
        <f t="shared" si="11"/>
        <v>136.13729479521666</v>
      </c>
      <c r="T84" s="245">
        <f t="shared" si="12"/>
        <v>6.5374399049542557E-5</v>
      </c>
    </row>
    <row r="85" spans="1:20" x14ac:dyDescent="0.2">
      <c r="H85" s="2">
        <f t="shared" si="15"/>
        <v>1.1086331056964346E-4</v>
      </c>
      <c r="I85" s="114">
        <f t="shared" si="16"/>
        <v>1.5360344287072618</v>
      </c>
      <c r="J85" s="242">
        <f t="shared" si="17"/>
        <v>-165.30409442261498</v>
      </c>
      <c r="K85" s="242">
        <f t="shared" si="18"/>
        <v>167.11840060437987</v>
      </c>
      <c r="L85" s="2">
        <f t="shared" si="13"/>
        <v>15.923743415730501</v>
      </c>
      <c r="M85">
        <f t="shared" si="14"/>
        <v>4.185693818235098</v>
      </c>
      <c r="P85" s="25">
        <f t="shared" si="8"/>
        <v>20.831468834204721</v>
      </c>
      <c r="Q85" s="241">
        <f t="shared" si="9"/>
        <v>-1.6485087754950813</v>
      </c>
      <c r="R85" s="241">
        <f t="shared" si="10"/>
        <v>-85.333545463971902</v>
      </c>
      <c r="S85" s="241">
        <f t="shared" si="11"/>
        <v>95.825731877204376</v>
      </c>
      <c r="T85" s="245">
        <f t="shared" si="12"/>
        <v>7.2300901301029492E-5</v>
      </c>
    </row>
    <row r="86" spans="1:20" ht="15.75" x14ac:dyDescent="0.3">
      <c r="A86" s="33"/>
      <c r="B86" s="18"/>
      <c r="C86" s="18"/>
      <c r="D86" s="116" t="s">
        <v>356</v>
      </c>
      <c r="E86" s="116" t="s">
        <v>357</v>
      </c>
      <c r="H86" s="2">
        <f t="shared" si="15"/>
        <v>1.3857913821205433E-4</v>
      </c>
      <c r="I86" s="114">
        <f t="shared" si="16"/>
        <v>1.4192636655728157</v>
      </c>
      <c r="J86" s="242">
        <f t="shared" si="17"/>
        <v>-201.78658147358334</v>
      </c>
      <c r="K86" s="242">
        <f t="shared" si="18"/>
        <v>203.91908798489021</v>
      </c>
      <c r="L86" s="2">
        <f t="shared" si="13"/>
        <v>19.438101393350284</v>
      </c>
      <c r="M86">
        <f t="shared" si="14"/>
        <v>3.8674934886931389</v>
      </c>
      <c r="P86" s="25">
        <f t="shared" si="8"/>
        <v>20.859184661847131</v>
      </c>
      <c r="Q86" s="241">
        <f t="shared" si="9"/>
        <v>-1.6891483359981789</v>
      </c>
      <c r="R86" s="241">
        <f t="shared" si="10"/>
        <v>-43.583700191380657</v>
      </c>
      <c r="S86" s="241">
        <f t="shared" si="11"/>
        <v>54.186629406984281</v>
      </c>
      <c r="T86" s="245">
        <f t="shared" si="12"/>
        <v>7.7188268138795747E-5</v>
      </c>
    </row>
    <row r="87" spans="1:20" x14ac:dyDescent="0.2">
      <c r="A87" s="85"/>
      <c r="B87" s="18"/>
      <c r="C87" s="18"/>
      <c r="D87" s="85"/>
      <c r="E87" s="255"/>
      <c r="H87" s="90">
        <f t="shared" si="15"/>
        <v>1.6629496585446519E-4</v>
      </c>
      <c r="I87" s="281">
        <f t="shared" si="16"/>
        <v>1.2803881160645212</v>
      </c>
      <c r="J87" s="282">
        <f t="shared" si="17"/>
        <v>-235.01101620812764</v>
      </c>
      <c r="K87" s="282">
        <f t="shared" si="18"/>
        <v>237.5219585918453</v>
      </c>
      <c r="L87" s="90">
        <f t="shared" si="13"/>
        <v>22.638611191328934</v>
      </c>
      <c r="M87">
        <f t="shared" si="14"/>
        <v>3.4890576162823304</v>
      </c>
      <c r="P87" s="25">
        <f t="shared" si="8"/>
        <v>20.886900489489541</v>
      </c>
      <c r="Q87" s="241">
        <f t="shared" si="9"/>
        <v>-1.7030897092166195</v>
      </c>
      <c r="R87" s="241">
        <f t="shared" si="10"/>
        <v>-1.2379107310939208</v>
      </c>
      <c r="S87" s="241">
        <f t="shared" si="11"/>
        <v>11.878830188717869</v>
      </c>
      <c r="T87" s="245">
        <f t="shared" si="12"/>
        <v>7.9733440040269282E-5</v>
      </c>
    </row>
    <row r="88" spans="1:20" x14ac:dyDescent="0.2">
      <c r="A88" s="33"/>
      <c r="B88" s="18"/>
      <c r="C88" s="18"/>
      <c r="D88" s="85"/>
      <c r="E88" s="255"/>
      <c r="H88" s="2">
        <f t="shared" si="15"/>
        <v>1.9401079349687606E-4</v>
      </c>
      <c r="I88" s="114">
        <f t="shared" si="16"/>
        <v>1.1216435475235507</v>
      </c>
      <c r="J88" s="242">
        <f t="shared" si="17"/>
        <v>-264.46107261157852</v>
      </c>
      <c r="K88" s="242">
        <f t="shared" si="18"/>
        <v>267.40459394457116</v>
      </c>
      <c r="L88" s="2">
        <f t="shared" si="13"/>
        <v>25.475535124673357</v>
      </c>
      <c r="M88">
        <f t="shared" si="14"/>
        <v>3.0564786670073785</v>
      </c>
      <c r="P88" s="25">
        <f t="shared" si="8"/>
        <v>20.914616317131951</v>
      </c>
      <c r="Q88" s="241">
        <f t="shared" si="9"/>
        <v>-1.6901712392082102</v>
      </c>
      <c r="R88" s="241">
        <f t="shared" si="10"/>
        <v>41.03543583393818</v>
      </c>
      <c r="S88" s="241">
        <f t="shared" si="11"/>
        <v>-30.429719207087214</v>
      </c>
      <c r="T88" s="245">
        <f t="shared" si="12"/>
        <v>7.9781533297587677E-5</v>
      </c>
    </row>
    <row r="89" spans="1:20" ht="15.75" x14ac:dyDescent="0.3">
      <c r="E89" t="s">
        <v>376</v>
      </c>
      <c r="H89" s="2">
        <f t="shared" si="15"/>
        <v>2.2172662113928692E-4</v>
      </c>
      <c r="I89" s="114">
        <f t="shared" si="16"/>
        <v>0.94557387882487398</v>
      </c>
      <c r="J89" s="242">
        <f t="shared" si="17"/>
        <v>-289.68100531011629</v>
      </c>
      <c r="K89" s="242">
        <f t="shared" si="18"/>
        <v>293.10431649031369</v>
      </c>
      <c r="L89" s="2">
        <f t="shared" si="13"/>
        <v>27.904971241523501</v>
      </c>
      <c r="M89">
        <f t="shared" si="14"/>
        <v>2.5766888198025892</v>
      </c>
      <c r="P89" s="25">
        <f t="shared" si="8"/>
        <v>20.942332144774369</v>
      </c>
      <c r="Q89" s="241">
        <f t="shared" si="9"/>
        <v>-1.6506547567653165</v>
      </c>
      <c r="R89" s="241">
        <f t="shared" si="10"/>
        <v>82.570544898816536</v>
      </c>
      <c r="S89" s="241">
        <f t="shared" si="11"/>
        <v>-72.072510686622664</v>
      </c>
      <c r="T89" s="245">
        <f t="shared" si="12"/>
        <v>7.7334908019952307E-5</v>
      </c>
    </row>
    <row r="90" spans="1:20" x14ac:dyDescent="0.2">
      <c r="H90" s="2">
        <f t="shared" si="15"/>
        <v>2.4944244878169779E-4</v>
      </c>
      <c r="I90" s="114">
        <f t="shared" si="16"/>
        <v>0.75499043574627966</v>
      </c>
      <c r="J90" s="242">
        <f t="shared" si="17"/>
        <v>-310.28269760472631</v>
      </c>
      <c r="K90" s="242">
        <f t="shared" si="18"/>
        <v>314.22534866731388</v>
      </c>
      <c r="L90" s="2">
        <f t="shared" si="13"/>
        <v>29.889532260263284</v>
      </c>
      <c r="M90">
        <f t="shared" si="14"/>
        <v>2.057348937412451</v>
      </c>
      <c r="P90" s="25">
        <f t="shared" si="8"/>
        <v>20.970047972416779</v>
      </c>
      <c r="Q90" s="241">
        <f t="shared" si="9"/>
        <v>-1.5852205351658515</v>
      </c>
      <c r="R90" s="241">
        <f t="shared" si="10"/>
        <v>122.71469728306997</v>
      </c>
      <c r="S90" s="241">
        <f t="shared" si="11"/>
        <v>-112.39497132473497</v>
      </c>
      <c r="T90" s="245">
        <f t="shared" si="12"/>
        <v>7.2552338037970912E-5</v>
      </c>
    </row>
    <row r="91" spans="1:20" x14ac:dyDescent="0.2">
      <c r="A91" s="33"/>
      <c r="B91" s="27"/>
      <c r="H91" s="2">
        <f t="shared" si="15"/>
        <v>2.7715827642410865E-4</v>
      </c>
      <c r="I91" s="114">
        <f t="shared" si="16"/>
        <v>0.55292708221850251</v>
      </c>
      <c r="J91" s="242">
        <f t="shared" si="17"/>
        <v>-325.95162881564653</v>
      </c>
      <c r="K91" s="242">
        <f t="shared" si="18"/>
        <v>330.44490251659829</v>
      </c>
      <c r="L91" s="2">
        <f t="shared" si="13"/>
        <v>31.398920403811228</v>
      </c>
      <c r="M91">
        <f t="shared" si="14"/>
        <v>1.5067262990482306</v>
      </c>
      <c r="P91" s="25">
        <f t="shared" si="8"/>
        <v>20.99776380005919</v>
      </c>
      <c r="Q91" s="241">
        <f t="shared" si="9"/>
        <v>-1.494955664955556</v>
      </c>
      <c r="R91" s="241">
        <f t="shared" si="10"/>
        <v>160.83850343238339</v>
      </c>
      <c r="S91" s="241">
        <f t="shared" si="11"/>
        <v>-150.76474924537189</v>
      </c>
      <c r="T91" s="245">
        <f t="shared" si="12"/>
        <v>6.5738377691441124E-5</v>
      </c>
    </row>
    <row r="92" spans="1:20" ht="15.75" x14ac:dyDescent="0.3">
      <c r="A92" s="33"/>
      <c r="B92" s="276"/>
      <c r="D92" s="2" t="s">
        <v>371</v>
      </c>
      <c r="E92" t="s">
        <v>372</v>
      </c>
      <c r="H92" s="2">
        <f t="shared" si="15"/>
        <v>3.0487410406651952E-4</v>
      </c>
      <c r="I92" s="114">
        <f t="shared" si="16"/>
        <v>0.34259194324954739</v>
      </c>
      <c r="J92" s="242">
        <f t="shared" si="17"/>
        <v>-336.45166927739211</v>
      </c>
      <c r="K92" s="242">
        <f t="shared" si="18"/>
        <v>341.51810623203534</v>
      </c>
      <c r="L92" s="2">
        <f t="shared" si="13"/>
        <v>32.410389301491179</v>
      </c>
      <c r="M92">
        <f t="shared" si="14"/>
        <v>0.93356304535675849</v>
      </c>
      <c r="P92" s="25">
        <f t="shared" si="8"/>
        <v>21.0254796277016</v>
      </c>
      <c r="Q92" s="241">
        <f t="shared" si="9"/>
        <v>-1.3813360451881644</v>
      </c>
      <c r="R92" s="241">
        <f t="shared" si="10"/>
        <v>196.34576783308242</v>
      </c>
      <c r="S92" s="241">
        <f t="shared" si="11"/>
        <v>-186.58162710993764</v>
      </c>
      <c r="T92" s="245">
        <f t="shared" si="12"/>
        <v>5.7323634697847895E-5</v>
      </c>
    </row>
    <row r="93" spans="1:20" x14ac:dyDescent="0.2">
      <c r="A93" s="33"/>
      <c r="B93" s="277"/>
      <c r="H93" s="2">
        <f t="shared" si="15"/>
        <v>3.3258993170893038E-4</v>
      </c>
      <c r="I93" s="114">
        <f t="shared" si="16"/>
        <v>0.12731648745508164</v>
      </c>
      <c r="J93" s="242">
        <f t="shared" si="17"/>
        <v>-341.62862999204367</v>
      </c>
      <c r="K93" s="242">
        <f t="shared" si="18"/>
        <v>347.28169256372792</v>
      </c>
      <c r="L93" s="2">
        <f t="shared" si="13"/>
        <v>32.909085927133567</v>
      </c>
      <c r="M93">
        <f t="shared" si="14"/>
        <v>0.34693742831574481</v>
      </c>
      <c r="P93" s="25">
        <f t="shared" si="8"/>
        <v>21.05319545534401</v>
      </c>
      <c r="Q93" s="241">
        <f t="shared" si="9"/>
        <v>-1.2462022886843389</v>
      </c>
      <c r="R93" s="241">
        <f t="shared" si="10"/>
        <v>228.6828090869553</v>
      </c>
      <c r="S93" s="241">
        <f t="shared" si="11"/>
        <v>-219.28690785028414</v>
      </c>
      <c r="T93" s="245">
        <f t="shared" si="12"/>
        <v>4.7837225387995664E-5</v>
      </c>
    </row>
    <row r="94" spans="1:20" x14ac:dyDescent="0.2">
      <c r="E94" s="33" t="s">
        <v>259</v>
      </c>
      <c r="H94" s="2">
        <f t="shared" si="15"/>
        <v>3.6030575935134125E-4</v>
      </c>
      <c r="I94" s="114">
        <f t="shared" si="16"/>
        <v>-8.9497222945248922E-2</v>
      </c>
      <c r="J94" s="242">
        <f t="shared" si="17"/>
        <v>-341.41251372541569</v>
      </c>
      <c r="K94" s="242">
        <f t="shared" si="18"/>
        <v>347.65639365794198</v>
      </c>
      <c r="L94" s="2">
        <f t="shared" si="13"/>
        <v>32.888267447169291</v>
      </c>
      <c r="M94">
        <f t="shared" si="14"/>
        <v>-0.24387993252625836</v>
      </c>
      <c r="P94" s="25">
        <f t="shared" ref="P94:P125" si="19">1000*($H$61+H113)</f>
        <v>21.08091128298642</v>
      </c>
      <c r="Q94" s="241">
        <f t="shared" ref="Q94:Q125" si="20">I113</f>
        <v>-1.0917299340994651</v>
      </c>
      <c r="R94" s="241">
        <f t="shared" ref="R94:R125" si="21">J113</f>
        <v>257.34709000479967</v>
      </c>
      <c r="S94" s="241">
        <f t="shared" ref="S94:S125" si="22">K113</f>
        <v>-248.37212593437306</v>
      </c>
      <c r="T94" s="245">
        <f t="shared" si="12"/>
        <v>3.7873173202250104E-5</v>
      </c>
    </row>
    <row r="95" spans="1:20" x14ac:dyDescent="0.2">
      <c r="H95" s="2">
        <f t="shared" si="15"/>
        <v>3.8802158699375211E-4</v>
      </c>
      <c r="I95" s="114">
        <f t="shared" si="16"/>
        <v>-0.30443027969105624</v>
      </c>
      <c r="J95" s="242">
        <f t="shared" si="17"/>
        <v>-335.81843490305323</v>
      </c>
      <c r="K95" s="242">
        <f t="shared" si="18"/>
        <v>342.64800741521293</v>
      </c>
      <c r="L95" s="2">
        <f t="shared" si="13"/>
        <v>32.349389834211117</v>
      </c>
      <c r="M95">
        <f t="shared" si="14"/>
        <v>-0.82957251215967609</v>
      </c>
      <c r="P95" s="25">
        <f t="shared" si="19"/>
        <v>21.108627110628831</v>
      </c>
      <c r="Q95" s="214">
        <f t="shared" si="20"/>
        <v>-0.92039444642510371</v>
      </c>
      <c r="R95" s="214">
        <f t="shared" si="21"/>
        <v>281.89502326291301</v>
      </c>
      <c r="S95" s="214">
        <f t="shared" si="22"/>
        <v>-273.38694839639993</v>
      </c>
      <c r="T95" s="245">
        <f t="shared" si="12"/>
        <v>2.8052883444145003E-5</v>
      </c>
    </row>
    <row r="96" spans="1:20" x14ac:dyDescent="0.2">
      <c r="H96" s="2">
        <f t="shared" si="15"/>
        <v>4.1573741463616298E-4</v>
      </c>
      <c r="I96" s="114">
        <f t="shared" si="16"/>
        <v>-0.51410082472738738</v>
      </c>
      <c r="J96" s="242">
        <f t="shared" si="17"/>
        <v>-324.94619670490204</v>
      </c>
      <c r="K96" s="242">
        <f t="shared" si="18"/>
        <v>332.34712145228679</v>
      </c>
      <c r="L96" s="2">
        <f t="shared" si="13"/>
        <v>31.302067128583214</v>
      </c>
      <c r="M96">
        <f t="shared" si="14"/>
        <v>-1.4009247473847446</v>
      </c>
      <c r="N96" s="241"/>
      <c r="O96" s="241"/>
      <c r="P96" s="25">
        <f t="shared" si="19"/>
        <v>21.136342938271241</v>
      </c>
      <c r="Q96" s="214">
        <f t="shared" si="20"/>
        <v>-0.73493156860336195</v>
      </c>
      <c r="R96" s="214">
        <f t="shared" si="21"/>
        <v>301.94883144643023</v>
      </c>
      <c r="S96" s="214">
        <f t="shared" si="22"/>
        <v>-293.94614292198236</v>
      </c>
      <c r="T96" s="245">
        <f t="shared" si="12"/>
        <v>1.8986064043432474E-5</v>
      </c>
    </row>
    <row r="97" spans="4:20" ht="15.75" x14ac:dyDescent="0.3">
      <c r="D97" s="2" t="s">
        <v>373</v>
      </c>
      <c r="E97" t="s">
        <v>374</v>
      </c>
      <c r="H97" s="2">
        <f t="shared" si="15"/>
        <v>4.4345324227857384E-4</v>
      </c>
      <c r="I97" s="114">
        <f t="shared" si="16"/>
        <v>-0.71521724575811785</v>
      </c>
      <c r="J97" s="242">
        <f t="shared" si="17"/>
        <v>-308.97853493646721</v>
      </c>
      <c r="K97" s="242">
        <f t="shared" si="18"/>
        <v>316.92750193116171</v>
      </c>
      <c r="L97" s="2">
        <f t="shared" si="13"/>
        <v>29.763902270429885</v>
      </c>
      <c r="M97">
        <f t="shared" si="14"/>
        <v>-1.9489669946945076</v>
      </c>
      <c r="N97" s="241"/>
      <c r="O97" s="241"/>
      <c r="P97" s="25">
        <f t="shared" si="19"/>
        <v>21.164058765913651</v>
      </c>
      <c r="Q97" s="214">
        <f t="shared" si="20"/>
        <v>-0.53829365894786729</v>
      </c>
      <c r="R97" s="214">
        <f t="shared" si="21"/>
        <v>317.20235546320396</v>
      </c>
      <c r="S97" s="214">
        <f t="shared" si="22"/>
        <v>-309.73550524256831</v>
      </c>
      <c r="T97" s="245">
        <f t="shared" si="12"/>
        <v>1.1232549232095959E-5</v>
      </c>
    </row>
    <row r="98" spans="4:20" ht="15.75" x14ac:dyDescent="0.3">
      <c r="F98" s="2" t="s">
        <v>375</v>
      </c>
      <c r="H98" s="2">
        <f t="shared" si="15"/>
        <v>4.7116906992098471E-4</v>
      </c>
      <c r="I98" s="114">
        <f t="shared" si="16"/>
        <v>-0.90462983461340252</v>
      </c>
      <c r="J98" s="242">
        <f t="shared" si="17"/>
        <v>-288.17805923637673</v>
      </c>
      <c r="K98" s="242">
        <f t="shared" si="18"/>
        <v>296.64317553570282</v>
      </c>
      <c r="L98" s="2">
        <f t="shared" si="13"/>
        <v>27.760192446240168</v>
      </c>
      <c r="M98">
        <f t="shared" si="14"/>
        <v>-2.4651162993261213</v>
      </c>
      <c r="N98" s="241"/>
      <c r="O98" s="241"/>
      <c r="P98" s="25">
        <f t="shared" si="19"/>
        <v>21.191774593556062</v>
      </c>
      <c r="Q98" s="214">
        <f t="shared" si="20"/>
        <v>-0.33360271092435739</v>
      </c>
      <c r="R98" s="214">
        <f t="shared" si="21"/>
        <v>327.42572210893235</v>
      </c>
      <c r="S98" s="214">
        <f t="shared" si="22"/>
        <v>-320.51665472166178</v>
      </c>
      <c r="T98" s="245">
        <f t="shared" si="12"/>
        <v>5.2674157690077568E-6</v>
      </c>
    </row>
    <row r="99" spans="4:20" x14ac:dyDescent="0.2">
      <c r="H99" s="2">
        <f t="shared" si="15"/>
        <v>4.9888489756339557E-4</v>
      </c>
      <c r="I99" s="114">
        <f t="shared" si="16"/>
        <v>-1.0793800979702826</v>
      </c>
      <c r="J99" s="242">
        <f t="shared" si="17"/>
        <v>-262.88294263538268</v>
      </c>
      <c r="K99" s="242">
        <f t="shared" si="18"/>
        <v>271.82425340235716</v>
      </c>
      <c r="L99" s="2">
        <f t="shared" si="13"/>
        <v>25.323513864066413</v>
      </c>
      <c r="M99">
        <f t="shared" si="14"/>
        <v>-2.941310766974508</v>
      </c>
      <c r="N99" s="241"/>
      <c r="O99" s="241"/>
      <c r="P99" s="25">
        <f t="shared" si="19"/>
        <v>21.219490421198472</v>
      </c>
      <c r="Q99" s="214">
        <f t="shared" si="20"/>
        <v>-0.12410080259589579</v>
      </c>
      <c r="R99" s="214">
        <f t="shared" si="21"/>
        <v>332.46879973027569</v>
      </c>
      <c r="S99" s="214">
        <f t="shared" si="22"/>
        <v>-326.13062504320123</v>
      </c>
      <c r="T99" s="245">
        <f t="shared" si="12"/>
        <v>1.4515645491691284E-6</v>
      </c>
    </row>
    <row r="100" spans="4:20" x14ac:dyDescent="0.2">
      <c r="H100" s="2">
        <f t="shared" si="15"/>
        <v>5.2660072520580644E-4</v>
      </c>
      <c r="I100" s="114">
        <f t="shared" si="16"/>
        <v>-1.2367469487088858</v>
      </c>
      <c r="J100" s="242">
        <f t="shared" si="17"/>
        <v>-233.50143008887505</v>
      </c>
      <c r="K100" s="242">
        <f t="shared" si="18"/>
        <v>242.87156552411307</v>
      </c>
      <c r="L100" s="2">
        <f t="shared" si="13"/>
        <v>22.493192760461334</v>
      </c>
      <c r="M100">
        <f t="shared" si="14"/>
        <v>-3.370135435238002</v>
      </c>
      <c r="N100" s="241"/>
      <c r="O100" s="241"/>
      <c r="P100" s="25">
        <f t="shared" si="19"/>
        <v>21.247206248840886</v>
      </c>
      <c r="Q100" s="214">
        <f t="shared" si="20"/>
        <v>8.6901238093218161E-2</v>
      </c>
      <c r="R100" s="214">
        <f t="shared" si="21"/>
        <v>332.26339017865325</v>
      </c>
      <c r="S100" s="214">
        <f t="shared" si="22"/>
        <v>-326.50019605245774</v>
      </c>
      <c r="T100" s="245">
        <f t="shared" ref="T100:T131" si="23">(0.5*(Q99+Q100))^2*0.001*(P100-P99)</f>
        <v>9.5883432273453385E-9</v>
      </c>
    </row>
    <row r="101" spans="4:20" x14ac:dyDescent="0.2">
      <c r="H101" s="2">
        <f t="shared" si="15"/>
        <v>5.543165528482173E-4</v>
      </c>
      <c r="I101" s="114">
        <f t="shared" si="16"/>
        <v>-1.3742890570030515</v>
      </c>
      <c r="J101" s="242">
        <f t="shared" si="17"/>
        <v>-200.50525505690823</v>
      </c>
      <c r="K101" s="242">
        <f t="shared" si="18"/>
        <v>210.25019273724854</v>
      </c>
      <c r="L101" s="2">
        <f t="shared" si="13"/>
        <v>19.314671219631968</v>
      </c>
      <c r="M101">
        <f t="shared" si="14"/>
        <v>-3.7449376803403029</v>
      </c>
      <c r="N101" s="241"/>
      <c r="O101" s="241"/>
      <c r="P101" s="25">
        <f t="shared" si="19"/>
        <v>21.274922076483296</v>
      </c>
      <c r="Q101" s="214">
        <f t="shared" si="20"/>
        <v>0.29607613962103818</v>
      </c>
      <c r="R101" s="214">
        <f t="shared" si="21"/>
        <v>326.82412526769627</v>
      </c>
      <c r="S101" s="214">
        <f t="shared" si="22"/>
        <v>-321.63093274816509</v>
      </c>
      <c r="T101" s="245">
        <f t="shared" si="23"/>
        <v>1.0162816941915559E-6</v>
      </c>
    </row>
    <row r="102" spans="4:20" x14ac:dyDescent="0.2">
      <c r="H102" s="2">
        <f t="shared" si="15"/>
        <v>5.8203238049062817E-4</v>
      </c>
      <c r="I102" s="114">
        <f t="shared" si="16"/>
        <v>-1.4898827023070251</v>
      </c>
      <c r="J102" s="242">
        <f t="shared" si="17"/>
        <v>-164.42207021437565</v>
      </c>
      <c r="K102" s="242">
        <f t="shared" si="18"/>
        <v>174.48200057816987</v>
      </c>
      <c r="L102" s="2">
        <f t="shared" si="13"/>
        <v>15.838778023750807</v>
      </c>
      <c r="M102">
        <f t="shared" si="14"/>
        <v>-4.0599303637942183</v>
      </c>
      <c r="N102" s="241"/>
      <c r="O102" s="241"/>
      <c r="P102" s="25">
        <f t="shared" si="19"/>
        <v>21.302637904125707</v>
      </c>
      <c r="Q102" s="214">
        <f t="shared" si="20"/>
        <v>0.50013263866367819</v>
      </c>
      <c r="R102" s="214">
        <f t="shared" si="21"/>
        <v>316.24805642491918</v>
      </c>
      <c r="S102" s="214">
        <f t="shared" si="22"/>
        <v>-311.61091786528027</v>
      </c>
      <c r="T102" s="245">
        <f t="shared" si="23"/>
        <v>4.3926012761462776E-6</v>
      </c>
    </row>
    <row r="103" spans="4:20" x14ac:dyDescent="0.2">
      <c r="H103" s="2">
        <f t="shared" si="15"/>
        <v>6.0974820813303903E-4</v>
      </c>
      <c r="I103" s="114">
        <f t="shared" si="16"/>
        <v>-1.5817545397068564</v>
      </c>
      <c r="J103" s="242">
        <f t="shared" si="17"/>
        <v>-125.82701367450744</v>
      </c>
      <c r="K103" s="242">
        <f t="shared" si="18"/>
        <v>136.13729479521666</v>
      </c>
      <c r="L103" s="2">
        <f t="shared" si="13"/>
        <v>12.120916227265301</v>
      </c>
      <c r="M103">
        <f t="shared" si="14"/>
        <v>-4.3102811207092264</v>
      </c>
      <c r="N103" s="241"/>
      <c r="O103" s="241"/>
      <c r="P103" s="25">
        <f t="shared" si="19"/>
        <v>21.330353731768117</v>
      </c>
      <c r="Q103" s="214">
        <f t="shared" si="20"/>
        <v>0.69586725072980904</v>
      </c>
      <c r="R103" s="214">
        <f t="shared" si="21"/>
        <v>300.71294683945234</v>
      </c>
      <c r="S103" s="214">
        <f t="shared" si="22"/>
        <v>-296.60918509769459</v>
      </c>
      <c r="T103" s="245">
        <f t="shared" si="23"/>
        <v>9.9112889950370622E-6</v>
      </c>
    </row>
    <row r="104" spans="4:20" x14ac:dyDescent="0.2">
      <c r="H104" s="2">
        <f t="shared" si="15"/>
        <v>6.374640357754499E-4</v>
      </c>
      <c r="I104" s="114">
        <f t="shared" si="16"/>
        <v>-1.6485087754950813</v>
      </c>
      <c r="J104" s="242">
        <f t="shared" si="17"/>
        <v>-85.333545463971902</v>
      </c>
      <c r="K104" s="242">
        <f t="shared" si="18"/>
        <v>95.825731877204376</v>
      </c>
      <c r="L104" s="2">
        <f t="shared" si="13"/>
        <v>8.2201804345444138</v>
      </c>
      <c r="M104">
        <f t="shared" si="14"/>
        <v>-4.4921864132324787</v>
      </c>
      <c r="N104" s="241"/>
      <c r="O104" s="241"/>
      <c r="P104" s="25">
        <f t="shared" si="19"/>
        <v>21.358069559410527</v>
      </c>
      <c r="Q104" s="214">
        <f t="shared" si="20"/>
        <v>0.88021454556574541</v>
      </c>
      <c r="R104" s="214">
        <f t="shared" si="21"/>
        <v>280.47429582767114</v>
      </c>
      <c r="S104" s="214">
        <f t="shared" si="22"/>
        <v>-276.8728804643423</v>
      </c>
      <c r="T104" s="245">
        <f t="shared" si="23"/>
        <v>1.7211763362947095E-5</v>
      </c>
    </row>
    <row r="105" spans="4:20" x14ac:dyDescent="0.2">
      <c r="H105" s="2">
        <f t="shared" si="15"/>
        <v>6.6517986341786076E-4</v>
      </c>
      <c r="I105" s="114">
        <f t="shared" si="16"/>
        <v>-1.6891483359981789</v>
      </c>
      <c r="J105" s="242">
        <f t="shared" si="17"/>
        <v>-43.583700191380657</v>
      </c>
      <c r="K105" s="242">
        <f t="shared" si="18"/>
        <v>54.186629406984281</v>
      </c>
      <c r="L105" s="2">
        <f t="shared" si="13"/>
        <v>4.1984178394356988</v>
      </c>
      <c r="M105">
        <f t="shared" si="14"/>
        <v>-4.6029292156036261</v>
      </c>
      <c r="N105" s="241"/>
      <c r="O105" s="241"/>
      <c r="P105" s="25">
        <f t="shared" si="19"/>
        <v>21.385785387052938</v>
      </c>
      <c r="Q105" s="214">
        <f t="shared" si="20"/>
        <v>1.0502951385655916</v>
      </c>
      <c r="R105" s="214">
        <f t="shared" si="21"/>
        <v>255.8611450459897</v>
      </c>
      <c r="S105" s="214">
        <f t="shared" si="22"/>
        <v>-252.72319929858628</v>
      </c>
      <c r="T105" s="245">
        <f t="shared" si="23"/>
        <v>2.5823305292715966E-5</v>
      </c>
    </row>
    <row r="106" spans="4:20" x14ac:dyDescent="0.2">
      <c r="H106" s="2">
        <f t="shared" si="15"/>
        <v>6.9289569106027163E-4</v>
      </c>
      <c r="I106" s="114">
        <f t="shared" si="16"/>
        <v>-1.7030897092166195</v>
      </c>
      <c r="J106" s="242">
        <f t="shared" si="17"/>
        <v>-1.2379107310939208</v>
      </c>
      <c r="K106" s="242">
        <f t="shared" si="18"/>
        <v>11.878830188717869</v>
      </c>
      <c r="L106" s="2">
        <f t="shared" si="13"/>
        <v>0.1192479407262774</v>
      </c>
      <c r="M106">
        <f t="shared" si="14"/>
        <v>-4.6409194576239479</v>
      </c>
      <c r="N106" s="241"/>
      <c r="O106" s="241"/>
      <c r="P106" s="25">
        <f t="shared" si="19"/>
        <v>21.413501214695351</v>
      </c>
      <c r="Q106" s="214">
        <f t="shared" si="20"/>
        <v>1.2034606471143776</v>
      </c>
      <c r="R106" s="214">
        <f t="shared" si="21"/>
        <v>227.27073526246329</v>
      </c>
      <c r="S106" s="214">
        <f t="shared" si="22"/>
        <v>-224.5501655258561</v>
      </c>
      <c r="T106" s="245">
        <f t="shared" si="23"/>
        <v>3.5195048646422852E-5</v>
      </c>
    </row>
    <row r="107" spans="4:20" x14ac:dyDescent="0.2">
      <c r="H107" s="2">
        <f t="shared" si="15"/>
        <v>7.2061151870268249E-4</v>
      </c>
      <c r="I107" s="114">
        <f t="shared" si="16"/>
        <v>-1.6901712392082102</v>
      </c>
      <c r="J107" s="242">
        <f t="shared" si="17"/>
        <v>41.03543583393818</v>
      </c>
      <c r="K107" s="242">
        <f t="shared" si="18"/>
        <v>-30.429719207087214</v>
      </c>
      <c r="L107" s="2">
        <f t="shared" si="13"/>
        <v>-3.952943533883265</v>
      </c>
      <c r="M107">
        <f t="shared" si="14"/>
        <v>-4.6057166268509668</v>
      </c>
      <c r="N107" s="241"/>
      <c r="O107" s="241"/>
      <c r="P107" s="25">
        <f t="shared" si="19"/>
        <v>21.441217042337765</v>
      </c>
      <c r="Q107" s="214">
        <f t="shared" si="20"/>
        <v>1.3373349102357446</v>
      </c>
      <c r="R107" s="214">
        <f t="shared" si="21"/>
        <v>195.16210035733883</v>
      </c>
      <c r="S107" s="214">
        <f t="shared" si="22"/>
        <v>-192.80633798773803</v>
      </c>
      <c r="T107" s="245">
        <f t="shared" si="23"/>
        <v>4.4730865693468293E-5</v>
      </c>
    </row>
    <row r="108" spans="4:20" x14ac:dyDescent="0.2">
      <c r="H108" s="2">
        <f t="shared" si="15"/>
        <v>7.4832734634509336E-4</v>
      </c>
      <c r="I108" s="114">
        <f t="shared" si="16"/>
        <v>-1.6506547567653165</v>
      </c>
      <c r="J108" s="242">
        <f t="shared" si="17"/>
        <v>82.570544898816536</v>
      </c>
      <c r="K108" s="242">
        <f t="shared" si="18"/>
        <v>-72.072510686622664</v>
      </c>
      <c r="L108" s="2">
        <f t="shared" si="13"/>
        <v>-7.9540205901029966</v>
      </c>
      <c r="M108">
        <f t="shared" si="14"/>
        <v>-4.4980342121938799</v>
      </c>
      <c r="N108" s="241"/>
      <c r="O108" s="241"/>
      <c r="P108" s="25">
        <f t="shared" si="19"/>
        <v>21.468932869980176</v>
      </c>
      <c r="Q108" s="214">
        <f t="shared" si="20"/>
        <v>1.4498508303050814</v>
      </c>
      <c r="R108" s="214">
        <f t="shared" si="21"/>
        <v>160.04870177684072</v>
      </c>
      <c r="S108" s="214">
        <f t="shared" si="22"/>
        <v>-157.99954528942942</v>
      </c>
      <c r="T108" s="245">
        <f t="shared" si="23"/>
        <v>5.3826939021044864E-5</v>
      </c>
    </row>
    <row r="109" spans="4:20" x14ac:dyDescent="0.2">
      <c r="H109" s="2">
        <f t="shared" si="15"/>
        <v>7.7604317398750422E-4</v>
      </c>
      <c r="I109" s="114">
        <f t="shared" si="16"/>
        <v>-1.5852205351658515</v>
      </c>
      <c r="J109" s="242">
        <f t="shared" si="17"/>
        <v>122.71469728306997</v>
      </c>
      <c r="K109" s="242">
        <f t="shared" si="18"/>
        <v>-112.39497132473497</v>
      </c>
      <c r="L109" s="2">
        <f t="shared" si="13"/>
        <v>-11.821106789278129</v>
      </c>
      <c r="M109">
        <f t="shared" si="14"/>
        <v>-4.3197259583350052</v>
      </c>
      <c r="N109" s="241"/>
      <c r="O109" s="241"/>
      <c r="P109" s="25">
        <f t="shared" si="19"/>
        <v>21.496648697622586</v>
      </c>
      <c r="Q109" s="214">
        <f t="shared" si="20"/>
        <v>1.5392822659489829</v>
      </c>
      <c r="R109" s="214">
        <f t="shared" si="21"/>
        <v>122.49022155654005</v>
      </c>
      <c r="S109" s="214">
        <f t="shared" si="22"/>
        <v>-120.68476573125885</v>
      </c>
      <c r="T109" s="245">
        <f t="shared" si="23"/>
        <v>6.190965258630904E-5</v>
      </c>
    </row>
    <row r="110" spans="4:20" x14ac:dyDescent="0.2">
      <c r="H110" s="2">
        <f t="shared" si="15"/>
        <v>8.0375900162991509E-4</v>
      </c>
      <c r="I110" s="114">
        <f t="shared" si="16"/>
        <v>-1.494955664955556</v>
      </c>
      <c r="J110" s="242">
        <f t="shared" si="17"/>
        <v>160.83850343238339</v>
      </c>
      <c r="K110" s="242">
        <f t="shared" si="18"/>
        <v>-150.76474924537189</v>
      </c>
      <c r="L110" s="2">
        <f t="shared" si="13"/>
        <v>-15.493573035641491</v>
      </c>
      <c r="M110">
        <f t="shared" si="14"/>
        <v>-4.0737541870114908</v>
      </c>
      <c r="N110" s="241"/>
      <c r="O110" s="241"/>
      <c r="P110" s="25">
        <f t="shared" si="19"/>
        <v>21.524364525264996</v>
      </c>
      <c r="Q110" s="214">
        <f t="shared" si="20"/>
        <v>1.6042704844524134</v>
      </c>
      <c r="R110" s="214">
        <f t="shared" si="21"/>
        <v>83.083645029647158</v>
      </c>
      <c r="S110" s="214">
        <f t="shared" si="22"/>
        <v>-81.455282099788135</v>
      </c>
      <c r="T110" s="245">
        <f t="shared" si="23"/>
        <v>6.8471424859233829E-5</v>
      </c>
    </row>
    <row r="111" spans="4:20" x14ac:dyDescent="0.2">
      <c r="H111" s="2">
        <f t="shared" si="15"/>
        <v>8.3147482927232595E-4</v>
      </c>
      <c r="I111" s="114">
        <f t="shared" si="16"/>
        <v>-1.3813360451881644</v>
      </c>
      <c r="J111" s="242">
        <f t="shared" si="17"/>
        <v>196.34576783308242</v>
      </c>
      <c r="K111" s="242">
        <f t="shared" si="18"/>
        <v>-186.58162710993764</v>
      </c>
      <c r="L111" s="2">
        <f t="shared" si="13"/>
        <v>-18.91398781536083</v>
      </c>
      <c r="M111">
        <f t="shared" si="14"/>
        <v>-3.7641407231447714</v>
      </c>
      <c r="N111" s="241"/>
      <c r="O111" s="241"/>
      <c r="P111" s="25">
        <f t="shared" si="19"/>
        <v>21.552080352907407</v>
      </c>
      <c r="Q111" s="214">
        <f t="shared" si="20"/>
        <v>1.6438447687691824</v>
      </c>
      <c r="R111" s="214">
        <f t="shared" si="21"/>
        <v>42.453775240798244</v>
      </c>
      <c r="S111" s="214">
        <f t="shared" si="22"/>
        <v>-40.933252235702625</v>
      </c>
      <c r="T111" s="245">
        <f t="shared" si="23"/>
        <v>7.3102246341871183E-5</v>
      </c>
    </row>
    <row r="112" spans="4:20" x14ac:dyDescent="0.2">
      <c r="H112" s="2">
        <f t="shared" si="15"/>
        <v>8.5919065691473682E-4</v>
      </c>
      <c r="I112" s="114">
        <f t="shared" si="16"/>
        <v>-1.2462022886843389</v>
      </c>
      <c r="J112" s="242">
        <f t="shared" si="17"/>
        <v>228.6828090869553</v>
      </c>
      <c r="K112" s="242">
        <f t="shared" si="18"/>
        <v>-219.28690785028414</v>
      </c>
      <c r="L112" s="2">
        <f t="shared" si="13"/>
        <v>-22.029014999346405</v>
      </c>
      <c r="M112">
        <f t="shared" si="14"/>
        <v>-3.3959012366711598</v>
      </c>
      <c r="N112" s="241"/>
      <c r="O112" s="241"/>
      <c r="P112" s="25">
        <f t="shared" si="19"/>
        <v>21.579796180549817</v>
      </c>
      <c r="Q112" s="214">
        <f t="shared" si="20"/>
        <v>1.6574368671957509</v>
      </c>
      <c r="R112" s="214">
        <f t="shared" si="21"/>
        <v>1.2433297301606487</v>
      </c>
      <c r="S112" s="214">
        <f t="shared" si="22"/>
        <v>0.24015480672250322</v>
      </c>
      <c r="T112" s="245">
        <f t="shared" si="23"/>
        <v>7.5514962780384885E-5</v>
      </c>
    </row>
    <row r="113" spans="8:20" x14ac:dyDescent="0.2">
      <c r="H113" s="2">
        <f t="shared" si="15"/>
        <v>8.8690648455714768E-4</v>
      </c>
      <c r="I113" s="114">
        <f t="shared" si="16"/>
        <v>-1.0917299340994651</v>
      </c>
      <c r="J113" s="242">
        <f t="shared" si="17"/>
        <v>257.34709000479967</v>
      </c>
      <c r="K113" s="242">
        <f t="shared" si="18"/>
        <v>-248.37212593437306</v>
      </c>
      <c r="L113" s="2">
        <f t="shared" ref="L113:L144" si="24">-0.001*$B$20*J113</f>
        <v>-24.790245180162351</v>
      </c>
      <c r="M113">
        <f t="shared" ref="M113:M144" si="25">I113*E$69</f>
        <v>-2.9749640704265929</v>
      </c>
      <c r="N113" s="241"/>
      <c r="O113" s="241"/>
      <c r="P113" s="25">
        <f t="shared" si="19"/>
        <v>21.607512008192227</v>
      </c>
      <c r="Q113" s="214">
        <f t="shared" si="20"/>
        <v>1.644889071445135</v>
      </c>
      <c r="R113" s="214">
        <f t="shared" si="21"/>
        <v>-39.897223395341797</v>
      </c>
      <c r="S113" s="214">
        <f t="shared" si="22"/>
        <v>41.414900675645441</v>
      </c>
      <c r="T113" s="245">
        <f t="shared" si="23"/>
        <v>7.5562746010941626E-5</v>
      </c>
    </row>
    <row r="114" spans="8:20" x14ac:dyDescent="0.2">
      <c r="H114" s="2">
        <f t="shared" ref="H114:H145" si="26">H113+$B$75</f>
        <v>9.1462231219955855E-4</v>
      </c>
      <c r="I114" s="114">
        <f t="shared" ref="I114:I145" si="27">($E$68/(2*$J$76*$E$70))*EXP(-H114*$J$68)*SIN($J$76*H114)+$I$61*EXP(-H114*$J$68)*COS($J$76*H114)</f>
        <v>-0.92039444642510371</v>
      </c>
      <c r="J114" s="242">
        <f t="shared" ref="J114:J145" si="28">$E$68-I114*$E$69-K114</f>
        <v>281.89502326291301</v>
      </c>
      <c r="K114" s="242">
        <f t="shared" ref="K114:K145" si="29">E$68*(1-EXP(-J$68*H114)*(COS(J$76*H114)+(J$68/J$76)*SIN(H114*J$76)))+B$74*SQRT(E$70/E$71)*EXP(-H114*J$68)*SIN(J$76*H114)</f>
        <v>-273.38694839639993</v>
      </c>
      <c r="L114" s="2">
        <f t="shared" si="24"/>
        <v>-27.154947590916411</v>
      </c>
      <c r="M114">
        <f t="shared" si="25"/>
        <v>-2.5080748665130872</v>
      </c>
      <c r="N114" s="241"/>
      <c r="O114" s="241"/>
      <c r="P114" s="25">
        <f t="shared" si="19"/>
        <v>21.635227835834637</v>
      </c>
      <c r="Q114" s="214">
        <f t="shared" si="20"/>
        <v>1.6064558096976911</v>
      </c>
      <c r="R114" s="214">
        <f t="shared" si="21"/>
        <v>-80.319929420456489</v>
      </c>
      <c r="S114" s="214">
        <f t="shared" si="22"/>
        <v>81.942337339022117</v>
      </c>
      <c r="T114" s="245">
        <f t="shared" si="23"/>
        <v>7.3247690953356147E-5</v>
      </c>
    </row>
    <row r="115" spans="8:20" x14ac:dyDescent="0.2">
      <c r="H115" s="2">
        <f t="shared" si="26"/>
        <v>9.4233813984196941E-4</v>
      </c>
      <c r="I115" s="114">
        <f t="shared" si="27"/>
        <v>-0.73493156860336195</v>
      </c>
      <c r="J115" s="242">
        <f t="shared" si="28"/>
        <v>301.94883144643023</v>
      </c>
      <c r="K115" s="242">
        <f t="shared" si="29"/>
        <v>-293.94614292198236</v>
      </c>
      <c r="L115" s="2">
        <f t="shared" si="24"/>
        <v>-29.086730933234623</v>
      </c>
      <c r="M115">
        <f t="shared" si="25"/>
        <v>-2.002688524447898</v>
      </c>
      <c r="N115" s="241"/>
      <c r="O115" s="241"/>
      <c r="P115" s="25">
        <f t="shared" si="19"/>
        <v>21.662943663477048</v>
      </c>
      <c r="Q115" s="214">
        <f t="shared" si="20"/>
        <v>1.5427987436134667</v>
      </c>
      <c r="R115" s="214">
        <f t="shared" si="21"/>
        <v>-119.38954909952997</v>
      </c>
      <c r="S115" s="214">
        <f t="shared" si="22"/>
        <v>121.18542252317543</v>
      </c>
      <c r="T115" s="245">
        <f t="shared" si="23"/>
        <v>6.8720038237498799E-5</v>
      </c>
    </row>
    <row r="116" spans="8:20" x14ac:dyDescent="0.2">
      <c r="H116" s="2">
        <f t="shared" si="26"/>
        <v>9.7005396748438028E-4</v>
      </c>
      <c r="I116" s="114">
        <f t="shared" si="27"/>
        <v>-0.53829365894786729</v>
      </c>
      <c r="J116" s="242">
        <f t="shared" si="28"/>
        <v>317.20235546320396</v>
      </c>
      <c r="K116" s="242">
        <f t="shared" si="29"/>
        <v>-309.73550524256831</v>
      </c>
      <c r="L116" s="2">
        <f t="shared" si="24"/>
        <v>-30.556102901770437</v>
      </c>
      <c r="M116">
        <f t="shared" si="25"/>
        <v>-1.4668502206356753</v>
      </c>
      <c r="N116" s="241"/>
      <c r="O116" s="241"/>
      <c r="P116" s="25">
        <f t="shared" si="19"/>
        <v>21.690659491119462</v>
      </c>
      <c r="Q116" s="214">
        <f t="shared" si="20"/>
        <v>1.4549754606498599</v>
      </c>
      <c r="R116" s="214">
        <f t="shared" si="21"/>
        <v>-156.49353827016634</v>
      </c>
      <c r="S116" s="214">
        <f t="shared" si="22"/>
        <v>158.52873013988807</v>
      </c>
      <c r="T116" s="245">
        <f t="shared" si="23"/>
        <v>6.2268111866131261E-5</v>
      </c>
    </row>
    <row r="117" spans="8:20" x14ac:dyDescent="0.2">
      <c r="H117" s="2">
        <f t="shared" si="26"/>
        <v>9.9776979512679114E-4</v>
      </c>
      <c r="I117" s="114">
        <f t="shared" si="27"/>
        <v>-0.33360271092435739</v>
      </c>
      <c r="J117" s="242">
        <f t="shared" si="28"/>
        <v>327.42572210893235</v>
      </c>
      <c r="K117" s="242">
        <f t="shared" si="29"/>
        <v>-320.51665472166178</v>
      </c>
      <c r="L117" s="2">
        <f t="shared" si="24"/>
        <v>-31.540919810753454</v>
      </c>
      <c r="M117">
        <f t="shared" si="25"/>
        <v>-0.90906738727057013</v>
      </c>
      <c r="N117" s="241"/>
      <c r="O117" s="241"/>
      <c r="P117" s="25">
        <f t="shared" si="19"/>
        <v>21.718375318761872</v>
      </c>
      <c r="Q117" s="214">
        <f t="shared" si="20"/>
        <v>1.3444219537261641</v>
      </c>
      <c r="R117" s="214">
        <f t="shared" si="21"/>
        <v>-191.05164827210271</v>
      </c>
      <c r="S117" s="214">
        <f t="shared" si="22"/>
        <v>193.38809844819207</v>
      </c>
      <c r="T117" s="245">
        <f t="shared" si="23"/>
        <v>5.429964307208237E-5</v>
      </c>
    </row>
    <row r="118" spans="8:20" x14ac:dyDescent="0.2">
      <c r="H118" s="2">
        <f t="shared" si="26"/>
        <v>1.0254856227692021E-3</v>
      </c>
      <c r="I118" s="114">
        <f t="shared" si="27"/>
        <v>-0.12410080259589579</v>
      </c>
      <c r="J118" s="242">
        <f t="shared" si="28"/>
        <v>332.46879973027569</v>
      </c>
      <c r="K118" s="242">
        <f t="shared" si="29"/>
        <v>-326.13062504320123</v>
      </c>
      <c r="L118" s="2">
        <f t="shared" si="24"/>
        <v>-32.026719478017455</v>
      </c>
      <c r="M118">
        <f t="shared" si="25"/>
        <v>-0.33817468707444703</v>
      </c>
      <c r="N118" s="241"/>
      <c r="O118" s="241"/>
      <c r="P118" s="25">
        <f t="shared" si="19"/>
        <v>21.746091146404282</v>
      </c>
      <c r="Q118" s="214">
        <f t="shared" si="20"/>
        <v>1.2129291777304501</v>
      </c>
      <c r="R118" s="214">
        <f t="shared" si="21"/>
        <v>-222.52499675472509</v>
      </c>
      <c r="S118" s="214">
        <f t="shared" si="22"/>
        <v>225.21976474540344</v>
      </c>
      <c r="T118" s="245">
        <f t="shared" si="23"/>
        <v>4.5315688678868092E-5</v>
      </c>
    </row>
    <row r="119" spans="8:20" x14ac:dyDescent="0.2">
      <c r="H119" s="2">
        <f t="shared" si="26"/>
        <v>1.0532014504116131E-3</v>
      </c>
      <c r="I119" s="114">
        <f t="shared" si="27"/>
        <v>8.6901238093218161E-2</v>
      </c>
      <c r="J119" s="242">
        <f t="shared" si="28"/>
        <v>332.26339017865325</v>
      </c>
      <c r="K119" s="242">
        <f t="shared" si="29"/>
        <v>-326.50019605245774</v>
      </c>
      <c r="L119" s="2">
        <f t="shared" si="24"/>
        <v>-32.00693237590967</v>
      </c>
      <c r="M119">
        <f t="shared" si="25"/>
        <v>0.23680587380446133</v>
      </c>
      <c r="N119" s="241"/>
      <c r="O119" s="241"/>
      <c r="P119" s="25">
        <f t="shared" si="19"/>
        <v>21.773806974046693</v>
      </c>
      <c r="Q119" s="214">
        <f t="shared" si="20"/>
        <v>1.0626140650459348</v>
      </c>
      <c r="R119" s="214">
        <f t="shared" si="21"/>
        <v>-250.4244671264637</v>
      </c>
      <c r="S119" s="214">
        <f t="shared" si="22"/>
        <v>253.52884379920812</v>
      </c>
      <c r="T119" s="245">
        <f t="shared" si="23"/>
        <v>3.5878811336603273E-5</v>
      </c>
    </row>
    <row r="120" spans="8:20" x14ac:dyDescent="0.2">
      <c r="H120" s="2">
        <f t="shared" si="26"/>
        <v>1.0809172780540241E-3</v>
      </c>
      <c r="I120" s="114">
        <f t="shared" si="27"/>
        <v>0.29607613962103818</v>
      </c>
      <c r="J120" s="242">
        <f t="shared" si="28"/>
        <v>326.82412526769627</v>
      </c>
      <c r="K120" s="242">
        <f t="shared" si="29"/>
        <v>-321.63093274816509</v>
      </c>
      <c r="L120" s="2">
        <f t="shared" si="24"/>
        <v>-31.482967987037181</v>
      </c>
      <c r="M120">
        <f t="shared" si="25"/>
        <v>0.80680748046883444</v>
      </c>
      <c r="N120" s="241"/>
      <c r="O120" s="241"/>
      <c r="P120" s="25">
        <f t="shared" si="19"/>
        <v>21.801522801689103</v>
      </c>
      <c r="Q120" s="214">
        <f t="shared" si="20"/>
        <v>0.89588546873387842</v>
      </c>
      <c r="R120" s="214">
        <f t="shared" si="21"/>
        <v>-274.31830578329163</v>
      </c>
      <c r="S120" s="214">
        <f t="shared" si="22"/>
        <v>277.87701788098724</v>
      </c>
      <c r="T120" s="245">
        <f t="shared" si="23"/>
        <v>2.6577541537737569E-5</v>
      </c>
    </row>
    <row r="121" spans="8:20" x14ac:dyDescent="0.2">
      <c r="H121" s="2">
        <f t="shared" si="26"/>
        <v>1.108633105696435E-3</v>
      </c>
      <c r="I121" s="114">
        <f t="shared" si="27"/>
        <v>0.50013263866367819</v>
      </c>
      <c r="J121" s="242">
        <f t="shared" si="28"/>
        <v>316.24805642491918</v>
      </c>
      <c r="K121" s="242">
        <f t="shared" si="29"/>
        <v>-311.61091786528027</v>
      </c>
      <c r="L121" s="2">
        <f t="shared" si="24"/>
        <v>-30.464175275412465</v>
      </c>
      <c r="M121">
        <f t="shared" si="25"/>
        <v>1.3628614403610659</v>
      </c>
      <c r="N121" s="241"/>
      <c r="O121" s="241"/>
      <c r="P121" s="25">
        <f t="shared" si="19"/>
        <v>21.829238629331513</v>
      </c>
      <c r="Q121" s="214">
        <f t="shared" si="20"/>
        <v>0.7154055808994757</v>
      </c>
      <c r="R121" s="214">
        <f t="shared" si="21"/>
        <v>-293.83879917545994</v>
      </c>
      <c r="S121" s="214">
        <f t="shared" si="22"/>
        <v>297.88931896750523</v>
      </c>
      <c r="T121" s="245">
        <f t="shared" si="23"/>
        <v>1.7989365677060017E-5</v>
      </c>
    </row>
    <row r="122" spans="8:20" x14ac:dyDescent="0.2">
      <c r="H122" s="2">
        <f t="shared" si="26"/>
        <v>1.136348933338846E-3</v>
      </c>
      <c r="I122" s="114">
        <f t="shared" si="27"/>
        <v>0.69586725072980904</v>
      </c>
      <c r="J122" s="242">
        <f t="shared" si="28"/>
        <v>300.71294683945234</v>
      </c>
      <c r="K122" s="242">
        <f t="shared" si="29"/>
        <v>-296.60918509769459</v>
      </c>
      <c r="L122" s="2">
        <f t="shared" si="24"/>
        <v>-28.967678169044444</v>
      </c>
      <c r="M122">
        <f t="shared" si="25"/>
        <v>1.8962382582422677</v>
      </c>
      <c r="N122" s="241"/>
      <c r="O122" s="241"/>
      <c r="P122" s="25">
        <f t="shared" si="19"/>
        <v>21.856954456973924</v>
      </c>
      <c r="Q122" s="214">
        <f t="shared" si="20"/>
        <v>0.52404744385999302</v>
      </c>
      <c r="R122" s="214">
        <f t="shared" si="21"/>
        <v>-308.68792752342</v>
      </c>
      <c r="S122" s="214">
        <f t="shared" si="22"/>
        <v>313.25989823889887</v>
      </c>
      <c r="T122" s="245">
        <f t="shared" si="23"/>
        <v>1.0644567098436554E-5</v>
      </c>
    </row>
    <row r="123" spans="8:20" x14ac:dyDescent="0.2">
      <c r="H123" s="2">
        <f t="shared" si="26"/>
        <v>1.164064760981257E-3</v>
      </c>
      <c r="I123" s="114">
        <f t="shared" si="27"/>
        <v>0.88021454556574541</v>
      </c>
      <c r="J123" s="242">
        <f t="shared" si="28"/>
        <v>280.47429582767114</v>
      </c>
      <c r="K123" s="242">
        <f t="shared" si="29"/>
        <v>-276.8728804643423</v>
      </c>
      <c r="L123" s="2">
        <f t="shared" si="24"/>
        <v>-27.01808891707956</v>
      </c>
      <c r="M123">
        <f t="shared" si="25"/>
        <v>2.3985846366711319</v>
      </c>
      <c r="N123" s="241"/>
      <c r="O123" s="241"/>
      <c r="P123" s="25">
        <f t="shared" si="19"/>
        <v>21.884670284616341</v>
      </c>
      <c r="Q123" s="214">
        <f t="shared" si="20"/>
        <v>0.3248492319452741</v>
      </c>
      <c r="R123" s="214">
        <f t="shared" si="21"/>
        <v>-318.64190833926153</v>
      </c>
      <c r="S123" s="214">
        <f t="shared" si="22"/>
        <v>323.756694182209</v>
      </c>
      <c r="T123" s="245">
        <f t="shared" si="23"/>
        <v>4.9931834968327784E-6</v>
      </c>
    </row>
    <row r="124" spans="8:20" x14ac:dyDescent="0.2">
      <c r="H124" s="2">
        <f t="shared" si="26"/>
        <v>1.191780588623668E-3</v>
      </c>
      <c r="I124" s="114">
        <f t="shared" si="27"/>
        <v>1.0502951385655916</v>
      </c>
      <c r="J124" s="242">
        <f t="shared" si="28"/>
        <v>255.8611450459897</v>
      </c>
      <c r="K124" s="242">
        <f t="shared" si="29"/>
        <v>-252.72319929858628</v>
      </c>
      <c r="L124" s="2">
        <f t="shared" si="24"/>
        <v>-24.647104102280188</v>
      </c>
      <c r="M124">
        <f t="shared" si="25"/>
        <v>2.8620542525965775</v>
      </c>
      <c r="N124" s="241"/>
      <c r="O124" s="241"/>
      <c r="P124" s="25">
        <f t="shared" si="19"/>
        <v>21.912386112258751</v>
      </c>
      <c r="Q124" s="214">
        <f t="shared" si="20"/>
        <v>0.12096603116274519</v>
      </c>
      <c r="R124" s="214">
        <f t="shared" si="21"/>
        <v>-323.55456058797546</v>
      </c>
      <c r="S124" s="214">
        <f t="shared" si="22"/>
        <v>329.22492815305634</v>
      </c>
      <c r="T124" s="245">
        <f t="shared" si="23"/>
        <v>1.3771388390027337E-6</v>
      </c>
    </row>
    <row r="125" spans="8:20" x14ac:dyDescent="0.2">
      <c r="H125" s="2">
        <f t="shared" si="26"/>
        <v>1.2194964162660789E-3</v>
      </c>
      <c r="I125" s="114">
        <f t="shared" si="27"/>
        <v>1.2034606471143776</v>
      </c>
      <c r="J125" s="242">
        <f t="shared" si="28"/>
        <v>227.27073526246329</v>
      </c>
      <c r="K125" s="242">
        <f t="shared" si="29"/>
        <v>-224.5501655258561</v>
      </c>
      <c r="L125" s="2">
        <f t="shared" si="24"/>
        <v>-21.892989927833089</v>
      </c>
      <c r="M125">
        <f t="shared" si="25"/>
        <v>3.2794302633927979</v>
      </c>
      <c r="N125" s="241"/>
      <c r="O125" s="241"/>
      <c r="P125" s="25">
        <f t="shared" si="19"/>
        <v>21.940101939901162</v>
      </c>
      <c r="Q125" s="214">
        <f t="shared" si="20"/>
        <v>-8.4380118202660642E-2</v>
      </c>
      <c r="R125" s="214">
        <f t="shared" si="21"/>
        <v>-323.35943905204027</v>
      </c>
      <c r="S125" s="214">
        <f t="shared" si="22"/>
        <v>329.58937487414295</v>
      </c>
      <c r="T125" s="245">
        <f t="shared" si="23"/>
        <v>9.274609952525246E-9</v>
      </c>
    </row>
    <row r="126" spans="8:20" x14ac:dyDescent="0.2">
      <c r="H126" s="2">
        <f t="shared" si="26"/>
        <v>1.2472122439084899E-3</v>
      </c>
      <c r="I126" s="114">
        <f t="shared" si="27"/>
        <v>1.3373349102357446</v>
      </c>
      <c r="J126" s="242">
        <f t="shared" si="28"/>
        <v>195.16210035733883</v>
      </c>
      <c r="K126" s="242">
        <f t="shared" si="29"/>
        <v>-192.80633798773803</v>
      </c>
      <c r="L126" s="2">
        <f t="shared" si="24"/>
        <v>-18.79996512742245</v>
      </c>
      <c r="M126">
        <f t="shared" si="25"/>
        <v>3.6442376303992035</v>
      </c>
      <c r="N126" s="241"/>
      <c r="O126" s="241"/>
      <c r="P126" s="25">
        <f t="shared" ref="P126:P137" si="30">1000*($H$61+H145)</f>
        <v>21.967817767543572</v>
      </c>
      <c r="Q126" s="214">
        <f t="shared" ref="Q126:Q137" si="31">I145</f>
        <v>-0.28795112527961098</v>
      </c>
      <c r="R126" s="214">
        <f t="shared" ref="R126:R137" si="32">J145</f>
        <v>-318.07070794590783</v>
      </c>
      <c r="S126" s="214">
        <f t="shared" ref="S126:S137" si="33">K145</f>
        <v>324.85537476229621</v>
      </c>
      <c r="T126" s="245">
        <f t="shared" si="23"/>
        <v>9.6056514120832207E-7</v>
      </c>
    </row>
    <row r="127" spans="8:20" x14ac:dyDescent="0.2">
      <c r="H127" s="2">
        <f t="shared" si="26"/>
        <v>1.2749280715509009E-3</v>
      </c>
      <c r="I127" s="114">
        <f t="shared" si="27"/>
        <v>1.4498508303050814</v>
      </c>
      <c r="J127" s="242">
        <f t="shared" si="28"/>
        <v>160.04870177684072</v>
      </c>
      <c r="K127" s="242">
        <f t="shared" si="29"/>
        <v>-157.99954528942942</v>
      </c>
      <c r="L127" s="2">
        <f t="shared" si="24"/>
        <v>-15.417491442163065</v>
      </c>
      <c r="M127">
        <f t="shared" si="25"/>
        <v>3.9508435125887185</v>
      </c>
      <c r="N127" s="241"/>
      <c r="O127" s="241"/>
      <c r="P127" s="25">
        <f t="shared" si="30"/>
        <v>21.995533595185982</v>
      </c>
      <c r="Q127" s="214">
        <f t="shared" si="31"/>
        <v>-0.48654389462808256</v>
      </c>
      <c r="R127" s="214">
        <f t="shared" si="32"/>
        <v>-307.7827427553629</v>
      </c>
      <c r="S127" s="214">
        <f t="shared" si="33"/>
        <v>315.10857486822692</v>
      </c>
      <c r="T127" s="245">
        <f t="shared" si="23"/>
        <v>4.1562830841331235E-6</v>
      </c>
    </row>
    <row r="128" spans="8:20" x14ac:dyDescent="0.2">
      <c r="H128" s="2">
        <f t="shared" si="26"/>
        <v>1.3026438991933119E-3</v>
      </c>
      <c r="I128" s="114">
        <f t="shared" si="27"/>
        <v>1.5392822659489829</v>
      </c>
      <c r="J128" s="242">
        <f t="shared" si="28"/>
        <v>122.49022155654005</v>
      </c>
      <c r="K128" s="242">
        <f t="shared" si="29"/>
        <v>-120.68476573125885</v>
      </c>
      <c r="L128" s="2">
        <f t="shared" si="24"/>
        <v>-11.799483042541503</v>
      </c>
      <c r="M128">
        <f t="shared" si="25"/>
        <v>4.1945441747188044</v>
      </c>
      <c r="N128" s="241"/>
      <c r="O128" s="241"/>
      <c r="P128" s="25">
        <f t="shared" si="30"/>
        <v>22.023249422828393</v>
      </c>
      <c r="Q128" s="214">
        <f t="shared" si="31"/>
        <v>-0.67704071012274258</v>
      </c>
      <c r="R128" s="214">
        <f t="shared" si="32"/>
        <v>-292.66846933553865</v>
      </c>
      <c r="S128" s="214">
        <f t="shared" si="33"/>
        <v>300.51340527062655</v>
      </c>
      <c r="T128" s="245">
        <f t="shared" si="23"/>
        <v>9.381316618500141E-6</v>
      </c>
    </row>
    <row r="129" spans="8:21" x14ac:dyDescent="0.2">
      <c r="H129" s="2">
        <f t="shared" si="26"/>
        <v>1.3303597268357228E-3</v>
      </c>
      <c r="I129" s="114">
        <f t="shared" si="27"/>
        <v>1.6042704844524134</v>
      </c>
      <c r="J129" s="242">
        <f t="shared" si="28"/>
        <v>83.083645029647158</v>
      </c>
      <c r="K129" s="242">
        <f t="shared" si="29"/>
        <v>-81.455282099788135</v>
      </c>
      <c r="L129" s="2">
        <f t="shared" si="24"/>
        <v>-8.0034475257059103</v>
      </c>
      <c r="M129">
        <f t="shared" si="25"/>
        <v>4.3716370701409835</v>
      </c>
      <c r="N129" s="241"/>
      <c r="O129" s="241"/>
      <c r="P129" s="25">
        <f t="shared" si="30"/>
        <v>22.050965250470803</v>
      </c>
      <c r="Q129" s="214">
        <f t="shared" si="31"/>
        <v>-0.85645816441864608</v>
      </c>
      <c r="R129" s="214">
        <f t="shared" si="32"/>
        <v>-272.97646917431604</v>
      </c>
      <c r="S129" s="214">
        <f t="shared" si="33"/>
        <v>281.31031767236118</v>
      </c>
      <c r="T129" s="245">
        <f t="shared" si="23"/>
        <v>1.6294265323027363E-5</v>
      </c>
    </row>
    <row r="130" spans="8:21" x14ac:dyDescent="0.2">
      <c r="H130" s="2">
        <f t="shared" si="26"/>
        <v>1.3580755544781338E-3</v>
      </c>
      <c r="I130" s="114">
        <f t="shared" si="27"/>
        <v>1.6438447687691824</v>
      </c>
      <c r="J130" s="242">
        <f t="shared" si="28"/>
        <v>42.453775240798244</v>
      </c>
      <c r="K130" s="242">
        <f t="shared" si="29"/>
        <v>-40.933252235702625</v>
      </c>
      <c r="L130" s="2">
        <f t="shared" si="24"/>
        <v>-4.0895721689460949</v>
      </c>
      <c r="M130">
        <f t="shared" si="25"/>
        <v>4.4794769949043802</v>
      </c>
      <c r="N130" s="241"/>
      <c r="O130" s="241"/>
      <c r="P130" s="25">
        <f t="shared" si="30"/>
        <v>22.078681078113213</v>
      </c>
      <c r="Q130" s="214">
        <f t="shared" si="31"/>
        <v>-1.0219938663483792</v>
      </c>
      <c r="R130" s="214">
        <f t="shared" si="32"/>
        <v>-249.02689910224223</v>
      </c>
      <c r="S130" s="214">
        <f t="shared" si="33"/>
        <v>257.81183238804675</v>
      </c>
      <c r="T130" s="245">
        <f t="shared" si="23"/>
        <v>2.444939285451144E-5</v>
      </c>
    </row>
    <row r="131" spans="8:21" x14ac:dyDescent="0.2">
      <c r="H131" s="2">
        <f t="shared" si="26"/>
        <v>1.3857913821205448E-3</v>
      </c>
      <c r="I131" s="114">
        <f t="shared" si="27"/>
        <v>1.6574368671957509</v>
      </c>
      <c r="J131" s="242">
        <f t="shared" si="28"/>
        <v>1.2433297301606487</v>
      </c>
      <c r="K131" s="242">
        <f t="shared" si="29"/>
        <v>0.24015480672250322</v>
      </c>
      <c r="L131" s="2">
        <f t="shared" si="24"/>
        <v>-0.11976995290637529</v>
      </c>
      <c r="M131">
        <f t="shared" si="25"/>
        <v>4.516515463116848</v>
      </c>
      <c r="N131" s="241"/>
      <c r="O131" s="241"/>
      <c r="P131" s="25">
        <f t="shared" si="30"/>
        <v>22.106396905755624</v>
      </c>
      <c r="Q131" s="214">
        <f t="shared" si="31"/>
        <v>-1.1710701952717026</v>
      </c>
      <c r="R131" s="214">
        <f t="shared" si="32"/>
        <v>-221.20629230186245</v>
      </c>
      <c r="S131" s="214">
        <f t="shared" si="33"/>
        <v>230.39745858398379</v>
      </c>
      <c r="T131" s="245">
        <f t="shared" si="23"/>
        <v>3.3325025980374112E-5</v>
      </c>
    </row>
    <row r="132" spans="8:21" x14ac:dyDescent="0.2">
      <c r="H132" s="2">
        <f t="shared" si="26"/>
        <v>1.4135072097629557E-3</v>
      </c>
      <c r="I132" s="114">
        <f t="shared" si="27"/>
        <v>1.644889071445135</v>
      </c>
      <c r="J132" s="242">
        <f t="shared" si="28"/>
        <v>-39.897223395341797</v>
      </c>
      <c r="K132" s="242">
        <f t="shared" si="29"/>
        <v>41.414900675645441</v>
      </c>
      <c r="L132" s="2">
        <f t="shared" si="24"/>
        <v>3.843299529673275</v>
      </c>
      <c r="M132">
        <f t="shared" si="25"/>
        <v>4.4823227196963558</v>
      </c>
      <c r="N132" s="241"/>
      <c r="O132" s="241"/>
      <c r="P132" s="25">
        <f t="shared" si="30"/>
        <v>22.134112733398037</v>
      </c>
      <c r="Q132" s="214">
        <f t="shared" si="31"/>
        <v>-1.3013744195068198</v>
      </c>
      <c r="R132" s="214">
        <f t="shared" si="32"/>
        <v>-189.96132494760496</v>
      </c>
      <c r="S132" s="214">
        <f t="shared" si="33"/>
        <v>199.50757024076768</v>
      </c>
      <c r="T132" s="245">
        <f t="shared" ref="T132:T137" si="34">(0.5*(Q131+Q132))^2*0.001*(P132-P131)</f>
        <v>4.235659145881629E-5</v>
      </c>
    </row>
    <row r="133" spans="8:21" x14ac:dyDescent="0.2">
      <c r="H133" s="2">
        <f t="shared" si="26"/>
        <v>1.4412230374053667E-3</v>
      </c>
      <c r="I133" s="114">
        <f t="shared" si="27"/>
        <v>1.6064558096976911</v>
      </c>
      <c r="J133" s="242">
        <f t="shared" si="28"/>
        <v>-80.319929420456489</v>
      </c>
      <c r="K133" s="242">
        <f t="shared" si="29"/>
        <v>81.942337339022117</v>
      </c>
      <c r="L133" s="2">
        <f t="shared" si="24"/>
        <v>7.7372188010725731</v>
      </c>
      <c r="M133">
        <f t="shared" si="25"/>
        <v>4.3775920814343765</v>
      </c>
      <c r="N133" s="241"/>
      <c r="O133" s="241"/>
      <c r="P133" s="25">
        <f t="shared" si="30"/>
        <v>22.161828561040448</v>
      </c>
      <c r="Q133" s="214">
        <f t="shared" si="31"/>
        <v>-1.4108945547332647</v>
      </c>
      <c r="R133" s="214">
        <f t="shared" si="32"/>
        <v>-155.79164891917787</v>
      </c>
      <c r="S133" s="214">
        <f t="shared" si="33"/>
        <v>165.63633658083319</v>
      </c>
      <c r="T133" s="245">
        <f t="shared" si="34"/>
        <v>5.0972199325213161E-5</v>
      </c>
    </row>
    <row r="134" spans="8:21" x14ac:dyDescent="0.2">
      <c r="H134" s="2">
        <f t="shared" si="26"/>
        <v>1.4689388650477777E-3</v>
      </c>
      <c r="I134" s="114">
        <f t="shared" si="27"/>
        <v>1.5427987436134667</v>
      </c>
      <c r="J134" s="242">
        <f t="shared" si="28"/>
        <v>-119.38954909952997</v>
      </c>
      <c r="K134" s="242">
        <f t="shared" si="29"/>
        <v>121.18542252317543</v>
      </c>
      <c r="L134" s="2">
        <f t="shared" si="24"/>
        <v>11.500795264757722</v>
      </c>
      <c r="M134">
        <f t="shared" si="25"/>
        <v>4.2041265763545415</v>
      </c>
      <c r="N134" s="241"/>
      <c r="O134" s="241"/>
      <c r="P134" s="25">
        <f t="shared" si="30"/>
        <v>22.189544388682858</v>
      </c>
      <c r="Q134" s="214">
        <f t="shared" si="31"/>
        <v>-1.4979504067218599</v>
      </c>
      <c r="R134" s="214">
        <f t="shared" si="32"/>
        <v>-119.24190552592005</v>
      </c>
      <c r="S134" s="214">
        <f t="shared" si="33"/>
        <v>129.32382038424473</v>
      </c>
      <c r="T134" s="245">
        <f t="shared" si="34"/>
        <v>5.8628530563062595E-5</v>
      </c>
    </row>
    <row r="135" spans="8:21" x14ac:dyDescent="0.2">
      <c r="H135" s="2">
        <f t="shared" si="26"/>
        <v>1.4966546926901887E-3</v>
      </c>
      <c r="I135" s="114">
        <f t="shared" si="27"/>
        <v>1.4549754606498599</v>
      </c>
      <c r="J135" s="242">
        <f t="shared" si="28"/>
        <v>-156.49353827016634</v>
      </c>
      <c r="K135" s="242">
        <f t="shared" si="29"/>
        <v>158.52873013988807</v>
      </c>
      <c r="L135" s="2">
        <f t="shared" si="24"/>
        <v>15.075022541565124</v>
      </c>
      <c r="M135">
        <f t="shared" si="25"/>
        <v>3.9648081302782661</v>
      </c>
      <c r="N135" s="241"/>
      <c r="O135" s="241"/>
      <c r="P135" s="25">
        <f t="shared" si="30"/>
        <v>22.217260216325268</v>
      </c>
      <c r="Q135" s="214">
        <f t="shared" si="31"/>
        <v>-1.5612193198171731</v>
      </c>
      <c r="R135" s="214">
        <f t="shared" si="32"/>
        <v>-80.893047831902635</v>
      </c>
      <c r="S135" s="214">
        <f t="shared" si="33"/>
        <v>91.14737047841237</v>
      </c>
      <c r="T135" s="245">
        <f t="shared" si="34"/>
        <v>6.4844777778928073E-5</v>
      </c>
    </row>
    <row r="136" spans="8:21" x14ac:dyDescent="0.2">
      <c r="H136" s="2">
        <f t="shared" si="26"/>
        <v>1.5243705203325996E-3</v>
      </c>
      <c r="I136" s="114">
        <f t="shared" si="27"/>
        <v>1.3444219537261641</v>
      </c>
      <c r="J136" s="242">
        <f t="shared" si="28"/>
        <v>-191.05164827210271</v>
      </c>
      <c r="K136" s="242">
        <f t="shared" si="29"/>
        <v>193.38809844819207</v>
      </c>
      <c r="L136" s="2">
        <f t="shared" si="24"/>
        <v>18.404005278051653</v>
      </c>
      <c r="M136">
        <f t="shared" si="25"/>
        <v>3.6635498239106328</v>
      </c>
      <c r="N136" s="241"/>
      <c r="O136" s="241"/>
      <c r="P136" s="25">
        <f t="shared" si="30"/>
        <v>22.244976043967679</v>
      </c>
      <c r="Q136" s="214">
        <f t="shared" si="31"/>
        <v>-1.5997562370397527</v>
      </c>
      <c r="R136" s="214">
        <f t="shared" si="32"/>
        <v>-41.353109786503197</v>
      </c>
      <c r="S136" s="214">
        <f t="shared" si="33"/>
        <v>51.712445532444654</v>
      </c>
      <c r="T136" s="245">
        <f t="shared" si="34"/>
        <v>6.9232519338687917E-5</v>
      </c>
    </row>
    <row r="137" spans="8:21" x14ac:dyDescent="0.2">
      <c r="H137" s="2">
        <f t="shared" si="26"/>
        <v>1.5520863479750106E-3</v>
      </c>
      <c r="I137" s="114">
        <f t="shared" si="27"/>
        <v>1.2129291777304501</v>
      </c>
      <c r="J137" s="242">
        <f t="shared" si="28"/>
        <v>-222.52499675472509</v>
      </c>
      <c r="K137" s="242">
        <f t="shared" si="29"/>
        <v>225.21976474540344</v>
      </c>
      <c r="L137" s="2">
        <f t="shared" si="24"/>
        <v>21.435832937382667</v>
      </c>
      <c r="M137">
        <f t="shared" si="25"/>
        <v>3.3052320093216436</v>
      </c>
      <c r="N137" s="241"/>
      <c r="O137" s="241"/>
      <c r="P137" s="25">
        <f t="shared" si="30"/>
        <v>22.272691871610089</v>
      </c>
      <c r="Q137" s="214">
        <f t="shared" si="31"/>
        <v>-1.613007768142992</v>
      </c>
      <c r="R137" s="214">
        <f t="shared" si="32"/>
        <v>-1.2475687797966692</v>
      </c>
      <c r="S137" s="214">
        <f t="shared" si="33"/>
        <v>11.643014947994523</v>
      </c>
      <c r="T137" s="245">
        <f t="shared" si="34"/>
        <v>7.1519671577315491E-5</v>
      </c>
    </row>
    <row r="138" spans="8:21" x14ac:dyDescent="0.2">
      <c r="H138" s="2">
        <f t="shared" si="26"/>
        <v>1.5798021756174216E-3</v>
      </c>
      <c r="I138" s="114">
        <f t="shared" si="27"/>
        <v>1.0626140650459348</v>
      </c>
      <c r="J138" s="242">
        <f t="shared" si="28"/>
        <v>-250.4244671264637</v>
      </c>
      <c r="K138" s="242">
        <f t="shared" si="29"/>
        <v>253.52884379920812</v>
      </c>
      <c r="L138" s="2">
        <f t="shared" si="24"/>
        <v>24.123388918292246</v>
      </c>
      <c r="M138">
        <f t="shared" si="25"/>
        <v>2.8956233272555751</v>
      </c>
      <c r="N138" s="241"/>
      <c r="O138" s="241"/>
      <c r="P138" s="25"/>
      <c r="Q138" s="214"/>
      <c r="R138" s="214"/>
      <c r="S138" s="214"/>
    </row>
    <row r="139" spans="8:21" x14ac:dyDescent="0.2">
      <c r="H139" s="2">
        <f t="shared" si="26"/>
        <v>1.6075180032598326E-3</v>
      </c>
      <c r="I139" s="114">
        <f t="shared" si="27"/>
        <v>0.89588546873387842</v>
      </c>
      <c r="J139" s="242">
        <f t="shared" si="28"/>
        <v>-274.31830578329163</v>
      </c>
      <c r="K139" s="242">
        <f t="shared" si="29"/>
        <v>277.87701788098724</v>
      </c>
      <c r="L139" s="2">
        <f t="shared" si="24"/>
        <v>26.425082396104482</v>
      </c>
      <c r="M139">
        <f t="shared" si="25"/>
        <v>2.4412879023043739</v>
      </c>
      <c r="N139" s="241"/>
      <c r="O139" s="241"/>
      <c r="P139" s="25"/>
      <c r="Q139" s="214"/>
      <c r="R139" s="214"/>
      <c r="S139" s="214" t="s">
        <v>687</v>
      </c>
      <c r="T139">
        <f>SQRT(SUM(T36:T137))/(0.001*P137)</f>
        <v>8.0504762568686115</v>
      </c>
      <c r="U139" t="s">
        <v>895</v>
      </c>
    </row>
    <row r="140" spans="8:21" x14ac:dyDescent="0.2">
      <c r="H140" s="2">
        <f t="shared" si="26"/>
        <v>1.6352338309022435E-3</v>
      </c>
      <c r="I140" s="114">
        <f t="shared" si="27"/>
        <v>0.7154055808994757</v>
      </c>
      <c r="J140" s="242">
        <f t="shared" si="28"/>
        <v>-293.83879917545994</v>
      </c>
      <c r="K140" s="242">
        <f t="shared" si="29"/>
        <v>297.88931896750523</v>
      </c>
      <c r="L140" s="2">
        <f t="shared" si="24"/>
        <v>28.305491524572055</v>
      </c>
      <c r="M140">
        <f t="shared" si="25"/>
        <v>1.9494802079547087</v>
      </c>
      <c r="N140" s="241"/>
      <c r="O140" s="241"/>
      <c r="P140" s="25"/>
      <c r="Q140" s="214"/>
      <c r="R140" s="214"/>
      <c r="S140" s="214"/>
    </row>
    <row r="141" spans="8:21" x14ac:dyDescent="0.2">
      <c r="H141" s="2">
        <f t="shared" si="26"/>
        <v>1.6629496585446545E-3</v>
      </c>
      <c r="I141" s="114">
        <f t="shared" si="27"/>
        <v>0.52404744385999302</v>
      </c>
      <c r="J141" s="242">
        <f t="shared" si="28"/>
        <v>-308.68792752342</v>
      </c>
      <c r="K141" s="242">
        <f t="shared" si="29"/>
        <v>313.25989823889887</v>
      </c>
      <c r="L141" s="2">
        <f t="shared" si="24"/>
        <v>29.735908058331049</v>
      </c>
      <c r="M141">
        <f t="shared" si="25"/>
        <v>1.4280292845211455</v>
      </c>
      <c r="N141" s="241"/>
      <c r="O141" s="241"/>
      <c r="P141" s="25"/>
      <c r="Q141" s="214"/>
      <c r="R141" s="214"/>
      <c r="S141" s="214"/>
    </row>
    <row r="142" spans="8:21" x14ac:dyDescent="0.2">
      <c r="H142" s="2">
        <f t="shared" si="26"/>
        <v>1.6906654861870655E-3</v>
      </c>
      <c r="I142" s="114">
        <f t="shared" si="27"/>
        <v>0.3248492319452741</v>
      </c>
      <c r="J142" s="242">
        <f t="shared" si="28"/>
        <v>-318.64190833926153</v>
      </c>
      <c r="K142" s="242">
        <f t="shared" si="29"/>
        <v>323.756694182209</v>
      </c>
      <c r="L142" s="2">
        <f t="shared" si="24"/>
        <v>30.694775030321065</v>
      </c>
      <c r="M142">
        <f t="shared" si="25"/>
        <v>0.8852141570525236</v>
      </c>
      <c r="N142" s="241"/>
      <c r="O142" s="241"/>
      <c r="P142" s="25"/>
      <c r="Q142" s="214"/>
      <c r="R142" s="214"/>
      <c r="S142" s="214"/>
    </row>
    <row r="143" spans="8:21" x14ac:dyDescent="0.2">
      <c r="H143" s="2">
        <f t="shared" si="26"/>
        <v>1.7183813138294765E-3</v>
      </c>
      <c r="I143" s="114">
        <f t="shared" si="27"/>
        <v>0.12096603116274519</v>
      </c>
      <c r="J143" s="242">
        <f t="shared" si="28"/>
        <v>-323.55456058797546</v>
      </c>
      <c r="K143" s="242">
        <f t="shared" si="29"/>
        <v>329.22492815305634</v>
      </c>
      <c r="L143" s="2">
        <f t="shared" si="24"/>
        <v>31.168010821439676</v>
      </c>
      <c r="M143">
        <f t="shared" si="25"/>
        <v>0.32963243491909572</v>
      </c>
      <c r="N143" s="241"/>
      <c r="O143" s="241"/>
      <c r="P143" s="25"/>
      <c r="Q143" s="214"/>
      <c r="R143" s="214"/>
      <c r="S143" s="214"/>
    </row>
    <row r="144" spans="8:21" x14ac:dyDescent="0.2">
      <c r="H144" s="2">
        <f t="shared" si="26"/>
        <v>1.7460971414718874E-3</v>
      </c>
      <c r="I144" s="114">
        <f t="shared" si="27"/>
        <v>-8.4380118202660642E-2</v>
      </c>
      <c r="J144" s="242">
        <f t="shared" si="28"/>
        <v>-323.35943905204027</v>
      </c>
      <c r="K144" s="242">
        <f t="shared" si="29"/>
        <v>329.58937487414295</v>
      </c>
      <c r="L144" s="2">
        <f t="shared" si="24"/>
        <v>31.149214763883037</v>
      </c>
      <c r="M144">
        <f t="shared" si="25"/>
        <v>-0.22993582210267927</v>
      </c>
      <c r="N144" s="241"/>
      <c r="O144" s="241"/>
      <c r="P144" s="25"/>
      <c r="Q144" s="214"/>
      <c r="R144" s="214"/>
      <c r="S144" s="214"/>
    </row>
    <row r="145" spans="8:19" x14ac:dyDescent="0.2">
      <c r="H145" s="2">
        <f t="shared" si="26"/>
        <v>1.7738129691142984E-3</v>
      </c>
      <c r="I145" s="114">
        <f t="shared" si="27"/>
        <v>-0.28795112527961098</v>
      </c>
      <c r="J145" s="242">
        <f t="shared" si="28"/>
        <v>-318.07070794590783</v>
      </c>
      <c r="K145" s="242">
        <f t="shared" si="29"/>
        <v>324.85537476229621</v>
      </c>
      <c r="L145" s="2">
        <f t="shared" ref="L145:L156" si="35">-0.001*$B$20*J145</f>
        <v>30.639751296429299</v>
      </c>
      <c r="M145">
        <f t="shared" ref="M145:M156" si="36">I145*E$69</f>
        <v>-0.78466681638840396</v>
      </c>
      <c r="N145" s="241"/>
      <c r="O145" s="241"/>
      <c r="P145" s="279"/>
      <c r="Q145" s="81"/>
      <c r="R145" s="81"/>
      <c r="S145" s="81"/>
    </row>
    <row r="146" spans="8:19" x14ac:dyDescent="0.2">
      <c r="H146" s="2">
        <f t="shared" ref="H146:H156" si="37">H145+$B$75</f>
        <v>1.8015287967567094E-3</v>
      </c>
      <c r="I146" s="114">
        <f t="shared" ref="I146:I156" si="38">($E$68/(2*$J$76*$E$70))*EXP(-H146*$J$68)*SIN($J$76*H146)+$I$61*EXP(-H146*$J$68)*COS($J$76*H146)</f>
        <v>-0.48654389462808256</v>
      </c>
      <c r="J146" s="242">
        <f t="shared" ref="J146:J156" si="39">$E$68-I146*$E$69-K146</f>
        <v>-307.7827427553629</v>
      </c>
      <c r="K146" s="242">
        <f t="shared" ref="K146:K156" si="40">E$68*(1-EXP(-J$68*H146)*(COS(J$76*H146)+(J$68/J$76)*SIN(H146*J$76)))+B$74*SQRT(E$70/E$71)*EXP(-H146*J$68)*SIN(J$76*H146)</f>
        <v>315.10857486822692</v>
      </c>
      <c r="L146" s="2">
        <f t="shared" si="35"/>
        <v>29.648711609624108</v>
      </c>
      <c r="M146">
        <f t="shared" si="36"/>
        <v>-1.3258321128639987</v>
      </c>
      <c r="N146" s="241"/>
      <c r="O146" s="241"/>
      <c r="P146" s="279"/>
      <c r="Q146" s="81"/>
      <c r="R146" s="81"/>
      <c r="S146" s="81"/>
    </row>
    <row r="147" spans="8:19" x14ac:dyDescent="0.2">
      <c r="H147" s="2">
        <f t="shared" si="37"/>
        <v>1.8292446243991204E-3</v>
      </c>
      <c r="I147" s="114">
        <f t="shared" si="38"/>
        <v>-0.67704071012274258</v>
      </c>
      <c r="J147" s="242">
        <f t="shared" si="39"/>
        <v>-292.66846933553865</v>
      </c>
      <c r="K147" s="242">
        <f t="shared" si="40"/>
        <v>300.51340527062655</v>
      </c>
      <c r="L147" s="2">
        <f t="shared" si="35"/>
        <v>28.192753651092438</v>
      </c>
      <c r="M147">
        <f t="shared" si="36"/>
        <v>-1.844935935087916</v>
      </c>
      <c r="N147" s="241"/>
      <c r="O147" s="241"/>
      <c r="P147" s="279"/>
      <c r="Q147" s="81"/>
      <c r="R147" s="81"/>
      <c r="S147" s="81"/>
    </row>
    <row r="148" spans="8:19" x14ac:dyDescent="0.2">
      <c r="H148" s="2">
        <f t="shared" si="37"/>
        <v>1.8569604520415313E-3</v>
      </c>
      <c r="I148" s="114">
        <f t="shared" si="38"/>
        <v>-0.85645816441864608</v>
      </c>
      <c r="J148" s="242">
        <f t="shared" si="39"/>
        <v>-272.97646917431604</v>
      </c>
      <c r="K148" s="242">
        <f t="shared" si="40"/>
        <v>281.31031767236118</v>
      </c>
      <c r="L148" s="2">
        <f t="shared" si="35"/>
        <v>26.295823275561865</v>
      </c>
      <c r="M148">
        <f t="shared" si="36"/>
        <v>-2.3338484980451653</v>
      </c>
      <c r="N148" s="241"/>
      <c r="O148" s="241"/>
      <c r="P148" s="279"/>
      <c r="Q148" s="81"/>
      <c r="R148" s="81"/>
      <c r="S148" s="81"/>
    </row>
    <row r="149" spans="8:19" x14ac:dyDescent="0.2">
      <c r="H149" s="2">
        <f t="shared" si="37"/>
        <v>1.8846762796839423E-3</v>
      </c>
      <c r="I149" s="114">
        <f t="shared" si="38"/>
        <v>-1.0219938663483792</v>
      </c>
      <c r="J149" s="242">
        <f t="shared" si="39"/>
        <v>-249.02689910224223</v>
      </c>
      <c r="K149" s="242">
        <f t="shared" si="40"/>
        <v>257.81183238804675</v>
      </c>
      <c r="L149" s="2">
        <f t="shared" si="35"/>
        <v>23.988761190518993</v>
      </c>
      <c r="M149">
        <f t="shared" si="36"/>
        <v>-2.7849332858045295</v>
      </c>
      <c r="N149" s="241"/>
      <c r="O149" s="241"/>
      <c r="P149" s="279"/>
      <c r="Q149" s="81"/>
      <c r="R149" s="81"/>
      <c r="S149" s="81"/>
    </row>
    <row r="150" spans="8:19" x14ac:dyDescent="0.2">
      <c r="H150" s="2">
        <f t="shared" si="37"/>
        <v>1.9123921073263533E-3</v>
      </c>
      <c r="I150" s="114">
        <f t="shared" si="38"/>
        <v>-1.1710701952717026</v>
      </c>
      <c r="J150" s="242">
        <f t="shared" si="39"/>
        <v>-221.20629230186245</v>
      </c>
      <c r="K150" s="242">
        <f t="shared" si="40"/>
        <v>230.39745858398379</v>
      </c>
      <c r="L150" s="2">
        <f t="shared" si="35"/>
        <v>21.308802137438409</v>
      </c>
      <c r="M150">
        <f t="shared" si="36"/>
        <v>-3.191166282121344</v>
      </c>
      <c r="N150" s="241"/>
      <c r="O150" s="241"/>
      <c r="P150" s="279">
        <f>1000*($H$61+$H$87+H205)</f>
        <v>20.360299764283738</v>
      </c>
      <c r="Q150" s="81">
        <f>I205/(E$70/E$194)</f>
        <v>1.2803881160645212</v>
      </c>
      <c r="R150" s="81">
        <f>J205</f>
        <v>-32.059542887055223</v>
      </c>
      <c r="S150" s="81">
        <f>K205</f>
        <v>0</v>
      </c>
    </row>
    <row r="151" spans="8:19" x14ac:dyDescent="0.2">
      <c r="H151" s="2">
        <f t="shared" si="37"/>
        <v>1.9401079349687642E-3</v>
      </c>
      <c r="I151" s="114">
        <f t="shared" si="38"/>
        <v>-1.3013744195068198</v>
      </c>
      <c r="J151" s="242">
        <f t="shared" si="39"/>
        <v>-189.96132494760496</v>
      </c>
      <c r="K151" s="242">
        <f t="shared" si="40"/>
        <v>199.50757024076768</v>
      </c>
      <c r="L151" s="2">
        <f t="shared" si="35"/>
        <v>18.298974432202787</v>
      </c>
      <c r="M151">
        <f t="shared" si="36"/>
        <v>-3.5462452931627007</v>
      </c>
      <c r="N151" s="241"/>
      <c r="O151" s="241"/>
      <c r="P151" s="279"/>
      <c r="Q151" s="81"/>
      <c r="R151" s="81"/>
      <c r="S151" s="81"/>
    </row>
    <row r="152" spans="8:19" x14ac:dyDescent="0.2">
      <c r="H152" s="2">
        <f t="shared" si="37"/>
        <v>1.9678237626111752E-3</v>
      </c>
      <c r="I152" s="114">
        <f t="shared" si="38"/>
        <v>-1.4108945547332647</v>
      </c>
      <c r="J152" s="242">
        <f t="shared" si="39"/>
        <v>-155.79164891917787</v>
      </c>
      <c r="K152" s="242">
        <f t="shared" si="40"/>
        <v>165.63633658083319</v>
      </c>
      <c r="L152" s="2">
        <f t="shared" si="35"/>
        <v>15.007409540384405</v>
      </c>
      <c r="M152">
        <f t="shared" si="36"/>
        <v>-3.8446876616553203</v>
      </c>
      <c r="N152" s="241"/>
      <c r="O152" s="241"/>
      <c r="P152" s="279"/>
      <c r="Q152" s="81"/>
      <c r="R152" s="81"/>
      <c r="S152" s="81"/>
    </row>
    <row r="153" spans="8:19" x14ac:dyDescent="0.2">
      <c r="H153" s="2">
        <f t="shared" si="37"/>
        <v>1.9955395902535862E-3</v>
      </c>
      <c r="I153" s="114">
        <f t="shared" si="38"/>
        <v>-1.4979504067218599</v>
      </c>
      <c r="J153" s="242">
        <f t="shared" si="39"/>
        <v>-119.24190552592005</v>
      </c>
      <c r="K153" s="242">
        <f t="shared" si="40"/>
        <v>129.32382038424473</v>
      </c>
      <c r="L153" s="2">
        <f t="shared" si="35"/>
        <v>11.486572759311878</v>
      </c>
      <c r="M153">
        <f t="shared" si="36"/>
        <v>-4.0819148583246845</v>
      </c>
      <c r="N153" s="241"/>
      <c r="O153" s="241"/>
      <c r="P153" s="279"/>
      <c r="Q153" s="81"/>
      <c r="R153" s="81"/>
      <c r="S153" s="81"/>
    </row>
    <row r="154" spans="8:19" x14ac:dyDescent="0.2">
      <c r="H154" s="2">
        <f t="shared" si="37"/>
        <v>2.0232554178959972E-3</v>
      </c>
      <c r="I154" s="114">
        <f t="shared" si="38"/>
        <v>-1.5612193198171731</v>
      </c>
      <c r="J154" s="242">
        <f t="shared" si="39"/>
        <v>-80.893047831902635</v>
      </c>
      <c r="K154" s="242">
        <f t="shared" si="40"/>
        <v>91.14737047841237</v>
      </c>
      <c r="L154" s="2">
        <f t="shared" si="35"/>
        <v>7.7924272976471807</v>
      </c>
      <c r="M154">
        <f t="shared" si="36"/>
        <v>-4.2543226465097348</v>
      </c>
      <c r="N154" s="241"/>
      <c r="O154" s="241"/>
      <c r="P154" s="279"/>
      <c r="Q154" s="81"/>
      <c r="R154" s="81"/>
      <c r="S154" s="81"/>
    </row>
    <row r="155" spans="8:19" x14ac:dyDescent="0.2">
      <c r="H155" s="2">
        <f t="shared" si="37"/>
        <v>2.0509712455384081E-3</v>
      </c>
      <c r="I155" s="114">
        <f t="shared" si="38"/>
        <v>-1.5997562370397527</v>
      </c>
      <c r="J155" s="242">
        <f t="shared" si="39"/>
        <v>-41.353109786503197</v>
      </c>
      <c r="K155" s="242">
        <f t="shared" si="40"/>
        <v>51.712445532444654</v>
      </c>
      <c r="L155" s="2">
        <f t="shared" si="35"/>
        <v>3.9835450657338529</v>
      </c>
      <c r="M155">
        <f t="shared" si="36"/>
        <v>-4.3593357459414603</v>
      </c>
      <c r="N155" s="241"/>
      <c r="O155" s="241"/>
      <c r="P155" s="279"/>
      <c r="Q155" s="81"/>
      <c r="R155" s="81"/>
      <c r="S155" s="81"/>
    </row>
    <row r="156" spans="8:19" x14ac:dyDescent="0.2">
      <c r="H156" s="2">
        <f t="shared" si="37"/>
        <v>2.0786870731808191E-3</v>
      </c>
      <c r="I156" s="114">
        <f t="shared" si="38"/>
        <v>-1.613007768142992</v>
      </c>
      <c r="J156" s="242">
        <f t="shared" si="39"/>
        <v>-1.2475687797966692</v>
      </c>
      <c r="K156" s="242">
        <f t="shared" si="40"/>
        <v>11.643014947994523</v>
      </c>
      <c r="L156" s="2">
        <f t="shared" si="35"/>
        <v>0.12017830055781314</v>
      </c>
      <c r="M156">
        <f t="shared" si="36"/>
        <v>-4.3954461681978545</v>
      </c>
      <c r="N156" s="241"/>
      <c r="O156" s="241"/>
      <c r="P156" s="279"/>
      <c r="Q156" s="81"/>
      <c r="R156" s="81"/>
      <c r="S156" s="81"/>
    </row>
    <row r="157" spans="8:19" x14ac:dyDescent="0.2">
      <c r="H157" s="2"/>
      <c r="I157" s="241"/>
      <c r="J157" s="241"/>
      <c r="K157" s="241"/>
      <c r="M157" s="25"/>
      <c r="N157" s="241"/>
      <c r="O157" s="241"/>
      <c r="P157" s="279"/>
      <c r="Q157" s="81"/>
      <c r="R157" s="81"/>
      <c r="S157" s="81"/>
    </row>
    <row r="158" spans="8:19" x14ac:dyDescent="0.2">
      <c r="H158" s="2"/>
      <c r="I158" s="241"/>
      <c r="J158" s="241"/>
      <c r="K158" s="241"/>
      <c r="M158" s="25"/>
      <c r="N158" s="241"/>
      <c r="O158" s="241"/>
      <c r="P158" s="279"/>
      <c r="Q158" s="81"/>
      <c r="R158" s="81"/>
      <c r="S158" s="81"/>
    </row>
    <row r="159" spans="8:19" x14ac:dyDescent="0.2">
      <c r="H159" s="2"/>
      <c r="I159" s="241"/>
      <c r="J159" s="241"/>
      <c r="K159" s="241"/>
      <c r="M159" s="25"/>
      <c r="N159" s="241"/>
      <c r="O159" s="241"/>
      <c r="P159" s="279"/>
      <c r="Q159" s="81"/>
      <c r="R159" s="81"/>
      <c r="S159" s="81"/>
    </row>
    <row r="160" spans="8:19" x14ac:dyDescent="0.2">
      <c r="H160" s="2"/>
      <c r="I160" s="241"/>
      <c r="J160" s="241"/>
      <c r="K160" s="241"/>
      <c r="P160" s="279"/>
      <c r="Q160" s="81"/>
      <c r="R160" s="81"/>
      <c r="S160" s="81"/>
    </row>
    <row r="161" spans="8:19" x14ac:dyDescent="0.2">
      <c r="H161" s="2"/>
      <c r="I161" s="241"/>
      <c r="J161" s="241"/>
      <c r="K161" s="241"/>
      <c r="N161" s="241"/>
      <c r="O161" s="241"/>
      <c r="P161" s="279"/>
      <c r="Q161" s="81"/>
      <c r="R161" s="81"/>
      <c r="S161" s="81"/>
    </row>
    <row r="162" spans="8:19" x14ac:dyDescent="0.2">
      <c r="H162" s="2"/>
      <c r="I162" s="241"/>
      <c r="J162" s="241"/>
      <c r="K162" s="241"/>
      <c r="N162" s="241"/>
      <c r="O162" s="241"/>
      <c r="P162" s="279"/>
      <c r="Q162" s="81"/>
      <c r="R162" s="81"/>
      <c r="S162" s="81"/>
    </row>
    <row r="163" spans="8:19" x14ac:dyDescent="0.2">
      <c r="H163" s="2"/>
      <c r="I163" s="241"/>
      <c r="J163" s="241"/>
      <c r="K163" s="241"/>
      <c r="N163" s="241"/>
      <c r="O163" s="241"/>
      <c r="P163" s="279"/>
      <c r="Q163" s="81"/>
      <c r="R163" s="81"/>
      <c r="S163" s="81"/>
    </row>
    <row r="164" spans="8:19" x14ac:dyDescent="0.2">
      <c r="H164" s="2"/>
      <c r="I164" s="241"/>
      <c r="J164" s="241"/>
      <c r="K164" s="241"/>
      <c r="N164" s="241"/>
      <c r="O164" s="241"/>
      <c r="P164" s="279"/>
      <c r="Q164" s="81"/>
      <c r="R164" s="81"/>
      <c r="S164" s="81"/>
    </row>
    <row r="165" spans="8:19" x14ac:dyDescent="0.2">
      <c r="H165" s="2"/>
      <c r="I165" s="241"/>
      <c r="J165" s="241"/>
      <c r="K165" s="241"/>
      <c r="N165" s="241"/>
      <c r="O165" s="241"/>
      <c r="P165" s="279"/>
      <c r="Q165" s="81"/>
      <c r="R165" s="81"/>
      <c r="S165" s="81"/>
    </row>
    <row r="166" spans="8:19" x14ac:dyDescent="0.2">
      <c r="H166" s="2"/>
      <c r="I166" s="241"/>
      <c r="J166" s="241"/>
      <c r="K166" s="241"/>
      <c r="N166" s="241"/>
      <c r="O166" s="241"/>
      <c r="P166" s="279"/>
      <c r="Q166" s="81"/>
      <c r="R166" s="81"/>
      <c r="S166" s="81"/>
    </row>
    <row r="167" spans="8:19" x14ac:dyDescent="0.2">
      <c r="H167" s="2"/>
      <c r="I167" s="241"/>
      <c r="J167" s="241"/>
      <c r="K167" s="241"/>
      <c r="N167" s="241"/>
      <c r="O167" s="241"/>
      <c r="P167" s="279"/>
      <c r="Q167" s="81"/>
      <c r="R167" s="81"/>
      <c r="S167" s="81"/>
    </row>
    <row r="168" spans="8:19" x14ac:dyDescent="0.2">
      <c r="H168" s="2"/>
      <c r="I168" s="241"/>
      <c r="J168" s="241"/>
      <c r="K168" s="241"/>
      <c r="N168" s="241"/>
      <c r="O168" s="241"/>
      <c r="P168" s="279"/>
      <c r="Q168" s="81"/>
      <c r="R168" s="81"/>
      <c r="S168" s="81"/>
    </row>
    <row r="169" spans="8:19" x14ac:dyDescent="0.2">
      <c r="H169" s="2"/>
      <c r="I169" s="241"/>
      <c r="J169" s="241"/>
      <c r="K169" s="241"/>
      <c r="N169" s="241"/>
      <c r="O169" s="241"/>
      <c r="P169" s="279"/>
      <c r="Q169" s="81"/>
      <c r="R169" s="81"/>
      <c r="S169" s="81"/>
    </row>
    <row r="170" spans="8:19" x14ac:dyDescent="0.2">
      <c r="H170" s="2"/>
      <c r="I170" s="241"/>
      <c r="J170" s="241"/>
      <c r="K170" s="241"/>
      <c r="P170" s="279"/>
      <c r="Q170" s="81"/>
      <c r="R170" s="81"/>
      <c r="S170" s="81"/>
    </row>
    <row r="171" spans="8:19" x14ac:dyDescent="0.2">
      <c r="H171" s="2"/>
      <c r="I171" s="241"/>
      <c r="J171" s="241"/>
      <c r="K171" s="241"/>
      <c r="P171" s="279"/>
      <c r="Q171" s="81"/>
      <c r="R171" s="81"/>
      <c r="S171" s="81"/>
    </row>
    <row r="172" spans="8:19" x14ac:dyDescent="0.2">
      <c r="H172" s="2"/>
      <c r="I172" s="241"/>
      <c r="J172" s="241"/>
      <c r="K172" s="241"/>
      <c r="P172" s="279"/>
      <c r="Q172" s="81"/>
      <c r="R172" s="81"/>
      <c r="S172" s="81"/>
    </row>
    <row r="173" spans="8:19" x14ac:dyDescent="0.2">
      <c r="H173" s="2"/>
      <c r="I173" s="241"/>
      <c r="J173" s="241"/>
      <c r="K173" s="241"/>
      <c r="P173" s="279"/>
      <c r="Q173" s="81"/>
      <c r="R173" s="81"/>
      <c r="S173" s="81"/>
    </row>
    <row r="174" spans="8:19" x14ac:dyDescent="0.2">
      <c r="H174" s="2"/>
      <c r="I174" s="241"/>
      <c r="J174" s="241"/>
      <c r="K174" s="241"/>
      <c r="P174" s="279"/>
      <c r="Q174" s="81"/>
      <c r="R174" s="81"/>
      <c r="S174" s="81"/>
    </row>
    <row r="175" spans="8:19" x14ac:dyDescent="0.2">
      <c r="H175" s="2"/>
      <c r="I175" s="241"/>
      <c r="J175" s="241"/>
      <c r="K175" s="241"/>
      <c r="P175" s="279"/>
      <c r="Q175" s="81"/>
      <c r="R175" s="81"/>
      <c r="S175" s="81"/>
    </row>
    <row r="176" spans="8:19" x14ac:dyDescent="0.2">
      <c r="H176" s="2"/>
      <c r="I176" s="241"/>
      <c r="J176" s="241"/>
      <c r="K176" s="241"/>
      <c r="P176" s="279"/>
      <c r="Q176" s="81"/>
      <c r="R176" s="81"/>
      <c r="S176" s="81"/>
    </row>
    <row r="177" spans="1:19" x14ac:dyDescent="0.2">
      <c r="H177" s="2"/>
      <c r="I177" s="241"/>
      <c r="J177" s="241"/>
      <c r="K177" s="241"/>
      <c r="P177" s="279"/>
      <c r="Q177" s="81"/>
      <c r="R177" s="81"/>
      <c r="S177" s="81"/>
    </row>
    <row r="178" spans="1:19" x14ac:dyDescent="0.2">
      <c r="H178" s="2"/>
      <c r="I178" s="241"/>
      <c r="J178" s="241"/>
      <c r="K178" s="241"/>
      <c r="P178" s="279"/>
      <c r="Q178" s="81"/>
      <c r="R178" s="81"/>
      <c r="S178" s="81"/>
    </row>
    <row r="179" spans="1:19" x14ac:dyDescent="0.2">
      <c r="P179" s="279"/>
      <c r="Q179" s="81"/>
      <c r="R179" s="81"/>
      <c r="S179" s="81"/>
    </row>
    <row r="180" spans="1:19" x14ac:dyDescent="0.2">
      <c r="P180" s="279"/>
      <c r="Q180" s="81"/>
      <c r="R180" s="81"/>
      <c r="S180" s="81"/>
    </row>
    <row r="181" spans="1:19" x14ac:dyDescent="0.2">
      <c r="P181" s="279"/>
      <c r="Q181" s="81"/>
      <c r="R181" s="81"/>
      <c r="S181" s="81"/>
    </row>
    <row r="182" spans="1:19" x14ac:dyDescent="0.2">
      <c r="P182" s="279"/>
      <c r="Q182" s="81"/>
      <c r="R182" s="81"/>
      <c r="S182" s="81"/>
    </row>
    <row r="183" spans="1:19" x14ac:dyDescent="0.2">
      <c r="P183" s="279"/>
      <c r="Q183" s="81"/>
      <c r="R183" s="81"/>
      <c r="S183" s="81"/>
    </row>
    <row r="184" spans="1:19" x14ac:dyDescent="0.2">
      <c r="P184" s="279"/>
      <c r="Q184" s="81"/>
      <c r="R184" s="81"/>
      <c r="S184" s="81"/>
    </row>
    <row r="185" spans="1:19" x14ac:dyDescent="0.2">
      <c r="P185" s="279"/>
      <c r="Q185" s="81"/>
      <c r="R185" s="81"/>
      <c r="S185" s="81"/>
    </row>
    <row r="186" spans="1:19" x14ac:dyDescent="0.2">
      <c r="P186" s="279"/>
      <c r="Q186" s="81"/>
      <c r="R186" s="81"/>
      <c r="S186" s="81"/>
    </row>
    <row r="187" spans="1:19" x14ac:dyDescent="0.2">
      <c r="P187" s="279"/>
      <c r="Q187" s="81"/>
      <c r="R187" s="81"/>
      <c r="S187" s="81"/>
    </row>
    <row r="188" spans="1:19" x14ac:dyDescent="0.2">
      <c r="P188" s="279"/>
      <c r="Q188" s="81"/>
      <c r="R188" s="81"/>
      <c r="S188" s="81"/>
    </row>
    <row r="189" spans="1:19" ht="20.25" x14ac:dyDescent="0.3">
      <c r="A189" s="46" t="s">
        <v>387</v>
      </c>
      <c r="I189" s="241"/>
      <c r="J189" s="242" t="s">
        <v>198</v>
      </c>
      <c r="K189" s="241"/>
      <c r="P189" s="279"/>
      <c r="Q189" s="81"/>
      <c r="R189" s="81"/>
      <c r="S189" s="81"/>
    </row>
    <row r="190" spans="1:19" x14ac:dyDescent="0.2">
      <c r="I190" s="241"/>
      <c r="J190" s="278">
        <f>J193*(2*E194)</f>
        <v>103.56157588603989</v>
      </c>
      <c r="K190" s="241"/>
      <c r="P190" s="279"/>
      <c r="Q190" s="81"/>
      <c r="R190" s="81"/>
      <c r="S190" s="81"/>
    </row>
    <row r="191" spans="1:19" x14ac:dyDescent="0.2">
      <c r="A191" t="s">
        <v>200</v>
      </c>
      <c r="E191" s="33" t="s">
        <v>199</v>
      </c>
      <c r="G191" t="s">
        <v>201</v>
      </c>
      <c r="I191" s="241"/>
      <c r="J191" s="241"/>
      <c r="K191" s="241"/>
      <c r="P191" s="279"/>
      <c r="Q191" s="81"/>
      <c r="R191" s="81"/>
      <c r="S191" s="81"/>
    </row>
    <row r="192" spans="1:19" ht="14.25" x14ac:dyDescent="0.2">
      <c r="A192" s="33" t="s">
        <v>202</v>
      </c>
      <c r="B192" s="10">
        <f>B4</f>
        <v>6</v>
      </c>
      <c r="C192" t="s">
        <v>837</v>
      </c>
      <c r="D192" s="33" t="s">
        <v>202</v>
      </c>
      <c r="E192" s="10">
        <f>B4</f>
        <v>6</v>
      </c>
      <c r="F192" t="s">
        <v>837</v>
      </c>
      <c r="G192" s="236" t="s">
        <v>203</v>
      </c>
      <c r="H192" s="2">
        <f>J192*J192</f>
        <v>182964.98952643009</v>
      </c>
      <c r="I192" s="243" t="s">
        <v>204</v>
      </c>
      <c r="J192" s="242">
        <f>E193/(2*E194)</f>
        <v>427.74407012421585</v>
      </c>
      <c r="K192" s="244" t="s">
        <v>205</v>
      </c>
      <c r="P192" s="279"/>
      <c r="Q192" s="81"/>
      <c r="R192" s="81"/>
      <c r="S192" s="81"/>
    </row>
    <row r="193" spans="1:19" ht="15.75" x14ac:dyDescent="0.3">
      <c r="A193" s="33" t="s">
        <v>206</v>
      </c>
      <c r="B193" s="10">
        <f>F23</f>
        <v>3.2112886064575505</v>
      </c>
      <c r="C193" t="s">
        <v>965</v>
      </c>
      <c r="D193" s="33" t="s">
        <v>206</v>
      </c>
      <c r="E193" s="10">
        <f>F23</f>
        <v>3.2112886064575505</v>
      </c>
      <c r="F193" t="s">
        <v>965</v>
      </c>
      <c r="G193" s="147" t="s">
        <v>207</v>
      </c>
      <c r="H193" s="2">
        <f>1/(E194*E195)</f>
        <v>190285904.57161885</v>
      </c>
      <c r="I193" s="243" t="s">
        <v>208</v>
      </c>
      <c r="J193" s="242">
        <f>SQRT(H193)</f>
        <v>13794.415702436216</v>
      </c>
      <c r="K193" s="241"/>
      <c r="P193" s="279"/>
      <c r="Q193" s="81"/>
      <c r="R193" s="81"/>
      <c r="S193" s="81"/>
    </row>
    <row r="194" spans="1:19" x14ac:dyDescent="0.2">
      <c r="A194" s="33" t="s">
        <v>209</v>
      </c>
      <c r="B194" s="10">
        <f>F24</f>
        <v>3.7537500000000001E-3</v>
      </c>
      <c r="C194" t="s">
        <v>995</v>
      </c>
      <c r="D194" s="33" t="s">
        <v>209</v>
      </c>
      <c r="E194" s="10">
        <f>F24</f>
        <v>3.7537500000000001E-3</v>
      </c>
      <c r="F194" t="s">
        <v>898</v>
      </c>
      <c r="G194" s="2" t="s">
        <v>210</v>
      </c>
      <c r="H194" s="2">
        <f>E192/E194</f>
        <v>1598.4015984015984</v>
      </c>
      <c r="I194" s="241"/>
      <c r="J194" s="241"/>
      <c r="K194" s="241"/>
      <c r="P194" s="279"/>
      <c r="Q194" s="81"/>
      <c r="R194" s="81"/>
      <c r="S194" s="81"/>
    </row>
    <row r="195" spans="1:19" ht="15.75" x14ac:dyDescent="0.3">
      <c r="A195" s="33" t="s">
        <v>211</v>
      </c>
      <c r="B195" s="257">
        <f>F25*1000000</f>
        <v>1.4</v>
      </c>
      <c r="C195" t="s">
        <v>1160</v>
      </c>
      <c r="D195" s="33" t="s">
        <v>211</v>
      </c>
      <c r="E195" s="257">
        <f>F25</f>
        <v>1.3999999999999999E-6</v>
      </c>
      <c r="F195" t="s">
        <v>212</v>
      </c>
      <c r="G195" s="113" t="s">
        <v>213</v>
      </c>
      <c r="H195" s="242">
        <f>J193/(2*PI())</f>
        <v>2195.4494461071836</v>
      </c>
      <c r="I195" s="241" t="s">
        <v>214</v>
      </c>
      <c r="J195" s="279">
        <f>1/H195</f>
        <v>4.554876003968707E-4</v>
      </c>
      <c r="K195" s="241" t="s">
        <v>215</v>
      </c>
      <c r="L195" t="s">
        <v>399</v>
      </c>
      <c r="P195" s="279"/>
      <c r="Q195" s="81"/>
      <c r="R195" s="81"/>
      <c r="S195" s="81"/>
    </row>
    <row r="196" spans="1:19" x14ac:dyDescent="0.2">
      <c r="I196" s="241"/>
      <c r="J196" s="241"/>
      <c r="K196" s="241"/>
      <c r="L196" t="s">
        <v>393</v>
      </c>
      <c r="M196" t="s">
        <v>392</v>
      </c>
      <c r="N196" t="s">
        <v>391</v>
      </c>
      <c r="P196" s="279"/>
      <c r="Q196" s="81"/>
      <c r="R196" s="81"/>
      <c r="S196" s="81"/>
    </row>
    <row r="197" spans="1:19" x14ac:dyDescent="0.2">
      <c r="A197" t="s">
        <v>216</v>
      </c>
      <c r="B197" s="17">
        <v>0</v>
      </c>
      <c r="E197" t="s">
        <v>217</v>
      </c>
      <c r="I197" s="241"/>
      <c r="J197" s="241"/>
      <c r="K197" s="241"/>
      <c r="L197" s="87">
        <f>E69/E193</f>
        <v>0.84856901199269574</v>
      </c>
      <c r="M197" s="284">
        <f>E70/E194</f>
        <v>9.2564102564102555</v>
      </c>
      <c r="N197" s="123">
        <f>E71/E195</f>
        <v>1</v>
      </c>
      <c r="P197" s="279"/>
      <c r="Q197" s="81"/>
      <c r="R197" s="81"/>
      <c r="S197" s="81"/>
    </row>
    <row r="198" spans="1:19" ht="21" x14ac:dyDescent="0.35">
      <c r="A198" s="33" t="s">
        <v>598</v>
      </c>
      <c r="B198" s="19">
        <f>E192/E193</f>
        <v>1.8684088337418989</v>
      </c>
      <c r="C198" t="s">
        <v>895</v>
      </c>
      <c r="D198" s="33" t="s">
        <v>218</v>
      </c>
      <c r="E198" s="147" t="s">
        <v>219</v>
      </c>
      <c r="F198" t="b">
        <f>IF(H192&gt;H193,TRUE(),FALSE())</f>
        <v>0</v>
      </c>
      <c r="G198" t="s">
        <v>220</v>
      </c>
      <c r="I198" s="246" t="s">
        <v>221</v>
      </c>
      <c r="J198" s="241" t="str">
        <f>IF(F198,SQRT(H192-H193),"")</f>
        <v/>
      </c>
      <c r="K198" s="241"/>
    </row>
    <row r="199" spans="1:19" ht="15.75" x14ac:dyDescent="0.3">
      <c r="A199" s="33" t="s">
        <v>355</v>
      </c>
      <c r="B199" s="257">
        <f>B200*J195</f>
        <v>1.366462801190612E-5</v>
      </c>
      <c r="C199" t="s">
        <v>215</v>
      </c>
      <c r="D199" s="33" t="s">
        <v>222</v>
      </c>
      <c r="E199" s="147" t="s">
        <v>223</v>
      </c>
      <c r="F199" t="b">
        <f>IF(H192=H193,TRUE(),FALSE())</f>
        <v>0</v>
      </c>
      <c r="G199" t="s">
        <v>224</v>
      </c>
      <c r="I199" s="246" t="s">
        <v>221</v>
      </c>
      <c r="J199" s="241" t="str">
        <f>IF(F199,0,"")</f>
        <v/>
      </c>
      <c r="L199" s="30" t="s">
        <v>397</v>
      </c>
      <c r="M199" s="87">
        <f>H87*1000000</f>
        <v>166.2949658544652</v>
      </c>
      <c r="N199" t="s">
        <v>398</v>
      </c>
    </row>
    <row r="200" spans="1:19" ht="15.75" x14ac:dyDescent="0.3">
      <c r="A200" t="s">
        <v>263</v>
      </c>
      <c r="B200" s="338">
        <v>0.03</v>
      </c>
      <c r="D200" s="33" t="s">
        <v>225</v>
      </c>
      <c r="E200" s="147" t="s">
        <v>226</v>
      </c>
      <c r="F200" t="b">
        <f>IF(H192&lt;H193,TRUE(),FALSE())</f>
        <v>1</v>
      </c>
      <c r="G200" t="s">
        <v>227</v>
      </c>
      <c r="I200" s="246" t="s">
        <v>228</v>
      </c>
      <c r="J200" s="241">
        <f>IF(F200,SQRT(H193-H192),"")</f>
        <v>13787.782257567475</v>
      </c>
      <c r="K200" s="247" t="s">
        <v>229</v>
      </c>
      <c r="L200" t="s">
        <v>395</v>
      </c>
      <c r="M200" t="s">
        <v>394</v>
      </c>
      <c r="N200" t="s">
        <v>396</v>
      </c>
      <c r="O200" t="s">
        <v>388</v>
      </c>
    </row>
    <row r="201" spans="1:19" ht="15.75" x14ac:dyDescent="0.3">
      <c r="D201" s="33"/>
      <c r="E201" s="147"/>
      <c r="G201" s="248" t="s">
        <v>230</v>
      </c>
      <c r="H201" s="242">
        <f>J200/(2*PI())</f>
        <v>2194.3937005665957</v>
      </c>
      <c r="I201" s="246"/>
      <c r="J201" s="116"/>
      <c r="L201" s="87">
        <f>M87</f>
        <v>3.4890576162823304</v>
      </c>
      <c r="M201" s="285">
        <v>-50.158052263883903</v>
      </c>
      <c r="N201" s="87">
        <v>51.950774298612821</v>
      </c>
    </row>
    <row r="202" spans="1:19" ht="15.75" x14ac:dyDescent="0.3">
      <c r="I202" s="241"/>
      <c r="J202" s="241" t="s">
        <v>389</v>
      </c>
      <c r="K202" s="241"/>
    </row>
    <row r="203" spans="1:19" ht="14.25" x14ac:dyDescent="0.25">
      <c r="H203" s="249" t="s">
        <v>233</v>
      </c>
      <c r="I203" s="250" t="s">
        <v>878</v>
      </c>
      <c r="J203" s="250" t="s">
        <v>234</v>
      </c>
      <c r="K203" s="250" t="s">
        <v>235</v>
      </c>
      <c r="L203" s="250" t="s">
        <v>386</v>
      </c>
      <c r="M203" s="250" t="s">
        <v>390</v>
      </c>
      <c r="N203" s="250" t="s">
        <v>400</v>
      </c>
      <c r="P203" s="250" t="s">
        <v>402</v>
      </c>
      <c r="R203" s="250" t="s">
        <v>403</v>
      </c>
    </row>
    <row r="204" spans="1:19" x14ac:dyDescent="0.2">
      <c r="H204" s="2" t="s">
        <v>236</v>
      </c>
      <c r="I204" s="242" t="s">
        <v>237</v>
      </c>
      <c r="J204" s="242" t="s">
        <v>238</v>
      </c>
      <c r="K204" s="242" t="s">
        <v>238</v>
      </c>
      <c r="L204" s="242" t="s">
        <v>385</v>
      </c>
      <c r="M204" s="242" t="s">
        <v>238</v>
      </c>
      <c r="N204" s="242" t="s">
        <v>401</v>
      </c>
      <c r="P204" s="242" t="s">
        <v>401</v>
      </c>
    </row>
    <row r="205" spans="1:19" x14ac:dyDescent="0.2">
      <c r="H205" s="2">
        <v>0</v>
      </c>
      <c r="I205" s="114">
        <f t="shared" ref="I205:I236" si="41">(E$192/(2*J$200*E$194))*EXP(-H$205*J$192)*SIN(J$200*H205)+(E$70/E$194)*I$87*EXP(-H$205*J$192)*COS(J$200*H205)</f>
        <v>11.851797689725439</v>
      </c>
      <c r="J205" s="283">
        <f>(E$192-I205*E$193-K205)</f>
        <v>-32.059542887055223</v>
      </c>
      <c r="K205" s="242">
        <f t="shared" ref="K205:K236" si="42">E$192*(1-EXP(-J$192*H205)*(COS(J$200*H205)+(J$192/J$200)*SIN(H205*J$200)))+B$198*SQRT(E$194/E$195)*EXP(-H205*J$192)*SIN(J$200*H205)</f>
        <v>0</v>
      </c>
      <c r="L205" s="2">
        <f t="shared" ref="L205:L236" si="43">-0.001*$B$20*J205</f>
        <v>3.0882957663100297</v>
      </c>
      <c r="M205">
        <f t="shared" ref="M205:M236" si="44">I205*E$193</f>
        <v>38.059542887055223</v>
      </c>
      <c r="N205">
        <f>I205/$B$20</f>
        <v>0.12303329896943256</v>
      </c>
      <c r="P205">
        <f>L205/(B18)</f>
        <v>0.61765915326200593</v>
      </c>
    </row>
    <row r="206" spans="1:19" x14ac:dyDescent="0.2">
      <c r="H206" s="280">
        <f t="shared" ref="H206:H237" si="45">H205+$B$199</f>
        <v>1.366462801190612E-5</v>
      </c>
      <c r="I206" s="114">
        <f t="shared" si="41"/>
        <v>11.652927310813572</v>
      </c>
      <c r="J206" s="242">
        <f t="shared" ref="J206:J237" si="46">E$192-I206*E$193-K206</f>
        <v>-49.541267634190277</v>
      </c>
      <c r="K206" s="242">
        <f t="shared" si="42"/>
        <v>18.120354929096624</v>
      </c>
      <c r="L206" s="2">
        <f t="shared" si="43"/>
        <v>4.772310311201549</v>
      </c>
      <c r="M206">
        <f t="shared" si="44"/>
        <v>37.420912705093649</v>
      </c>
    </row>
    <row r="207" spans="1:19" x14ac:dyDescent="0.2">
      <c r="H207" s="280">
        <f t="shared" si="45"/>
        <v>2.732925602381224E-5</v>
      </c>
      <c r="I207" s="114">
        <f t="shared" si="41"/>
        <v>11.0416419262021</v>
      </c>
      <c r="J207" s="242">
        <f t="shared" si="46"/>
        <v>-65.061146725341672</v>
      </c>
      <c r="K207" s="242">
        <f t="shared" si="42"/>
        <v>35.603247811144868</v>
      </c>
      <c r="L207" s="2">
        <f t="shared" si="43"/>
        <v>6.2673402640521632</v>
      </c>
      <c r="M207">
        <f t="shared" si="44"/>
        <v>35.457898914196804</v>
      </c>
    </row>
    <row r="208" spans="1:19" x14ac:dyDescent="0.2">
      <c r="H208" s="280">
        <f t="shared" si="45"/>
        <v>4.099388403571836E-5</v>
      </c>
      <c r="I208" s="114">
        <f t="shared" si="41"/>
        <v>10.039575865073246</v>
      </c>
      <c r="J208" s="242">
        <f t="shared" si="46"/>
        <v>-78.080328489112674</v>
      </c>
      <c r="K208" s="242">
        <f t="shared" si="42"/>
        <v>51.840352899936747</v>
      </c>
      <c r="L208" s="2">
        <f t="shared" si="43"/>
        <v>7.5214780433562236</v>
      </c>
      <c r="M208">
        <f t="shared" si="44"/>
        <v>32.23997558917592</v>
      </c>
    </row>
    <row r="209" spans="1:13" x14ac:dyDescent="0.2">
      <c r="H209" s="280">
        <f t="shared" si="45"/>
        <v>5.465851204762448E-5</v>
      </c>
      <c r="I209" s="114">
        <f t="shared" si="41"/>
        <v>8.6821937853012905</v>
      </c>
      <c r="J209" s="242">
        <f t="shared" si="46"/>
        <v>-88.155320013466266</v>
      </c>
      <c r="K209" s="242">
        <f t="shared" si="42"/>
        <v>66.274290031671683</v>
      </c>
      <c r="L209" s="2">
        <f t="shared" si="43"/>
        <v>8.492001976897205</v>
      </c>
      <c r="M209">
        <f t="shared" si="44"/>
        <v>27.881029981794587</v>
      </c>
    </row>
    <row r="210" spans="1:13" ht="15.75" x14ac:dyDescent="0.3">
      <c r="A210" s="33"/>
      <c r="B210" s="18"/>
      <c r="C210" s="18"/>
      <c r="D210" s="116" t="s">
        <v>356</v>
      </c>
      <c r="E210" s="116" t="s">
        <v>357</v>
      </c>
      <c r="H210" s="280">
        <f t="shared" si="45"/>
        <v>6.83231400595306E-5</v>
      </c>
      <c r="I210" s="114">
        <f t="shared" si="41"/>
        <v>7.0175355247084559</v>
      </c>
      <c r="J210" s="242">
        <f t="shared" si="46"/>
        <v>-94.952994925323551</v>
      </c>
      <c r="K210" s="242">
        <f t="shared" si="42"/>
        <v>78.417663049416177</v>
      </c>
      <c r="L210" s="2">
        <f t="shared" si="43"/>
        <v>9.1468220011564174</v>
      </c>
      <c r="M210">
        <f t="shared" si="44"/>
        <v>22.535331875907374</v>
      </c>
    </row>
    <row r="211" spans="1:13" x14ac:dyDescent="0.2">
      <c r="A211" s="85"/>
      <c r="B211" s="18"/>
      <c r="C211" s="18"/>
      <c r="D211" s="85"/>
      <c r="E211" s="255"/>
      <c r="H211" s="280">
        <f t="shared" si="45"/>
        <v>8.198776807143672E-5</v>
      </c>
      <c r="I211" s="114">
        <f t="shared" si="41"/>
        <v>5.104515897376972</v>
      </c>
      <c r="J211" s="242">
        <f t="shared" si="46"/>
        <v>-98.261485924572668</v>
      </c>
      <c r="K211" s="242">
        <f t="shared" si="42"/>
        <v>87.869412181844552</v>
      </c>
      <c r="L211" s="2">
        <f t="shared" si="43"/>
        <v>9.4655289391140851</v>
      </c>
      <c r="M211">
        <f t="shared" si="44"/>
        <v>16.392073742728108</v>
      </c>
    </row>
    <row r="212" spans="1:13" x14ac:dyDescent="0.2">
      <c r="A212" s="33"/>
      <c r="B212" s="18"/>
      <c r="C212" s="18"/>
      <c r="D212" s="85"/>
      <c r="E212" s="255"/>
      <c r="H212" s="280">
        <f t="shared" si="45"/>
        <v>9.5652396083342839E-5</v>
      </c>
      <c r="I212" s="114">
        <f t="shared" si="41"/>
        <v>3.0108396078386526</v>
      </c>
      <c r="J212" s="242">
        <f t="shared" si="46"/>
        <v>-97.996610603254751</v>
      </c>
      <c r="K212" s="242">
        <f t="shared" si="42"/>
        <v>94.327935674731364</v>
      </c>
      <c r="L212" s="2">
        <f t="shared" si="43"/>
        <v>9.4400134994115295</v>
      </c>
      <c r="M212">
        <f t="shared" si="44"/>
        <v>9.6686749285233837</v>
      </c>
    </row>
    <row r="213" spans="1:13" ht="15.75" x14ac:dyDescent="0.3">
      <c r="E213" t="s">
        <v>376</v>
      </c>
      <c r="H213" s="280">
        <f t="shared" si="45"/>
        <v>1.0931702409524896E-4</v>
      </c>
      <c r="I213" s="114">
        <f t="shared" si="41"/>
        <v>0.81060507753322097</v>
      </c>
      <c r="J213" s="242">
        <f t="shared" si="46"/>
        <v>-94.203642938401543</v>
      </c>
      <c r="K213" s="242">
        <f t="shared" si="42"/>
        <v>97.600556088582465</v>
      </c>
      <c r="L213" s="2">
        <f t="shared" si="43"/>
        <v>9.0746369242562199</v>
      </c>
      <c r="M213">
        <f t="shared" si="44"/>
        <v>2.6030868498190718</v>
      </c>
    </row>
    <row r="214" spans="1:13" x14ac:dyDescent="0.2">
      <c r="H214" s="280">
        <f t="shared" si="45"/>
        <v>1.2298165210715509E-4</v>
      </c>
      <c r="I214" s="114">
        <f t="shared" si="41"/>
        <v>-1.4183180122006065</v>
      </c>
      <c r="J214" s="242">
        <f t="shared" si="46"/>
        <v>-87.054411875458555</v>
      </c>
      <c r="K214" s="242">
        <f t="shared" si="42"/>
        <v>97.609040348371877</v>
      </c>
      <c r="L214" s="2">
        <f t="shared" si="43"/>
        <v>8.3859514959629227</v>
      </c>
      <c r="M214">
        <f t="shared" si="44"/>
        <v>-4.5546284729133291</v>
      </c>
    </row>
    <row r="215" spans="1:13" x14ac:dyDescent="0.2">
      <c r="A215" s="33"/>
      <c r="B215" s="27"/>
      <c r="H215" s="280">
        <f t="shared" si="45"/>
        <v>1.3664628011906123E-4</v>
      </c>
      <c r="I215" s="114">
        <f t="shared" si="41"/>
        <v>-3.5970446478174707</v>
      </c>
      <c r="J215" s="242">
        <f t="shared" si="46"/>
        <v>-76.83987650172034</v>
      </c>
      <c r="K215" s="242">
        <f t="shared" si="42"/>
        <v>94.391024996175688</v>
      </c>
      <c r="L215" s="2">
        <f t="shared" si="43"/>
        <v>7.4019853034107204</v>
      </c>
      <c r="M215">
        <f t="shared" si="44"/>
        <v>-11.551148494455356</v>
      </c>
    </row>
    <row r="216" spans="1:13" ht="15.75" x14ac:dyDescent="0.3">
      <c r="A216" s="33"/>
      <c r="B216" s="276"/>
      <c r="D216" s="2" t="s">
        <v>371</v>
      </c>
      <c r="E216" t="s">
        <v>372</v>
      </c>
      <c r="H216" s="280">
        <f t="shared" si="45"/>
        <v>1.5031090813096736E-4</v>
      </c>
      <c r="I216" s="114">
        <f t="shared" si="41"/>
        <v>-5.6484663454249171</v>
      </c>
      <c r="J216" s="242">
        <f t="shared" si="46"/>
        <v>-63.958488420544555</v>
      </c>
      <c r="K216" s="242">
        <f t="shared" si="42"/>
        <v>88.097344039566508</v>
      </c>
      <c r="L216" s="2">
        <f t="shared" si="43"/>
        <v>6.1611211895510571</v>
      </c>
      <c r="M216">
        <f t="shared" si="44"/>
        <v>-18.138855619021957</v>
      </c>
    </row>
    <row r="217" spans="1:13" x14ac:dyDescent="0.2">
      <c r="A217" s="33"/>
      <c r="B217" s="277"/>
      <c r="H217" s="280">
        <f t="shared" si="45"/>
        <v>1.6397553614287349E-4</v>
      </c>
      <c r="I217" s="114">
        <f t="shared" si="41"/>
        <v>-7.4999801385283398</v>
      </c>
      <c r="J217" s="242">
        <f t="shared" si="46"/>
        <v>-48.900800358890066</v>
      </c>
      <c r="K217" s="242">
        <f t="shared" si="42"/>
        <v>78.985401126404042</v>
      </c>
      <c r="L217" s="2">
        <f t="shared" si="43"/>
        <v>4.7106140985718801</v>
      </c>
      <c r="M217">
        <f t="shared" si="44"/>
        <v>-24.084600767513979</v>
      </c>
    </row>
    <row r="218" spans="1:13" x14ac:dyDescent="0.2">
      <c r="E218" s="33" t="s">
        <v>259</v>
      </c>
      <c r="H218" s="280">
        <f t="shared" si="45"/>
        <v>1.7764016415477963E-4</v>
      </c>
      <c r="I218" s="114">
        <f t="shared" si="41"/>
        <v>-9.0860581085911605</v>
      </c>
      <c r="J218" s="242">
        <f t="shared" si="46"/>
        <v>-32.230910563582341</v>
      </c>
      <c r="K218" s="242">
        <f t="shared" si="42"/>
        <v>67.408865445312372</v>
      </c>
      <c r="L218" s="2">
        <f t="shared" si="43"/>
        <v>3.104803614589887</v>
      </c>
      <c r="M218">
        <f t="shared" si="44"/>
        <v>-29.177954881730034</v>
      </c>
    </row>
    <row r="219" spans="1:13" x14ac:dyDescent="0.2">
      <c r="H219" s="280">
        <f t="shared" si="45"/>
        <v>1.9130479216668576E-4</v>
      </c>
      <c r="I219" s="114">
        <f t="shared" si="41"/>
        <v>-10.350566518774876</v>
      </c>
      <c r="J219" s="242">
        <f t="shared" si="46"/>
        <v>-14.565440647466339</v>
      </c>
      <c r="K219" s="242">
        <f t="shared" si="42"/>
        <v>53.80409697958909</v>
      </c>
      <c r="L219" s="2">
        <f t="shared" si="43"/>
        <v>1.4030888975704323</v>
      </c>
      <c r="M219">
        <f t="shared" si="44"/>
        <v>-33.238656332122751</v>
      </c>
    </row>
    <row r="220" spans="1:13" x14ac:dyDescent="0.2">
      <c r="H220" s="280">
        <f t="shared" si="45"/>
        <v>2.0496942017859189E-4</v>
      </c>
      <c r="I220" s="114">
        <f t="shared" si="41"/>
        <v>-11.248752473151855</v>
      </c>
      <c r="J220" s="242">
        <f t="shared" si="46"/>
        <v>3.4491734360580537</v>
      </c>
      <c r="K220" s="242">
        <f t="shared" si="42"/>
        <v>38.67381721783569</v>
      </c>
      <c r="L220" s="2">
        <f t="shared" si="43"/>
        <v>-0.3322588770954723</v>
      </c>
      <c r="M220">
        <f t="shared" si="44"/>
        <v>-36.122990653893744</v>
      </c>
    </row>
    <row r="221" spans="1:13" ht="15.75" x14ac:dyDescent="0.3">
      <c r="D221" s="2" t="s">
        <v>373</v>
      </c>
      <c r="E221" t="s">
        <v>374</v>
      </c>
      <c r="H221" s="280">
        <f t="shared" si="45"/>
        <v>2.1863404819049803E-4</v>
      </c>
      <c r="I221" s="114">
        <f t="shared" si="41"/>
        <v>-11.748827790468273</v>
      </c>
      <c r="J221" s="242">
        <f t="shared" si="46"/>
        <v>21.160244383319501</v>
      </c>
      <c r="K221" s="242">
        <f t="shared" si="42"/>
        <v>22.5686324394431</v>
      </c>
      <c r="L221" s="2">
        <f t="shared" si="43"/>
        <v>-2.0383663414451676</v>
      </c>
      <c r="M221">
        <f t="shared" si="44"/>
        <v>-37.728876822762601</v>
      </c>
    </row>
    <row r="222" spans="1:13" ht="15.75" x14ac:dyDescent="0.3">
      <c r="F222" s="2" t="s">
        <v>375</v>
      </c>
      <c r="H222" s="280">
        <f t="shared" si="45"/>
        <v>2.3229867620240416E-4</v>
      </c>
      <c r="I222" s="114">
        <f t="shared" si="41"/>
        <v>-11.833094036730653</v>
      </c>
      <c r="J222" s="242">
        <f t="shared" si="46"/>
        <v>37.932394791386322</v>
      </c>
      <c r="K222" s="242">
        <f t="shared" si="42"/>
        <v>6.0670852679076068</v>
      </c>
      <c r="L222" s="2">
        <f t="shared" si="43"/>
        <v>-3.6540275902542443</v>
      </c>
      <c r="M222">
        <f t="shared" si="44"/>
        <v>-37.99948005929393</v>
      </c>
    </row>
    <row r="223" spans="1:13" x14ac:dyDescent="0.2">
      <c r="H223" s="280">
        <f t="shared" si="45"/>
        <v>2.4596330421431029E-4</v>
      </c>
      <c r="I223" s="114">
        <f t="shared" si="41"/>
        <v>-11.498568899983754</v>
      </c>
      <c r="J223" s="242">
        <f t="shared" si="46"/>
        <v>53.170269133652127</v>
      </c>
      <c r="K223" s="242">
        <f t="shared" si="42"/>
        <v>-10.245045834567168</v>
      </c>
      <c r="L223" s="2">
        <f t="shared" si="43"/>
        <v>-5.1218920256447094</v>
      </c>
      <c r="M223">
        <f t="shared" si="44"/>
        <v>-36.925223299084962</v>
      </c>
    </row>
    <row r="224" spans="1:13" x14ac:dyDescent="0.2">
      <c r="H224" s="280">
        <f t="shared" si="45"/>
        <v>2.5962793222621643E-4</v>
      </c>
      <c r="I224" s="114">
        <f t="shared" si="41"/>
        <v>-10.757091738913878</v>
      </c>
      <c r="J224" s="242">
        <f t="shared" si="46"/>
        <v>66.339587474530617</v>
      </c>
      <c r="K224" s="242">
        <f t="shared" si="42"/>
        <v>-25.79546133473783</v>
      </c>
      <c r="L224" s="2">
        <f t="shared" si="43"/>
        <v>-6.3904924614215339</v>
      </c>
      <c r="M224">
        <f t="shared" si="44"/>
        <v>-34.54412613979278</v>
      </c>
    </row>
    <row r="225" spans="8:13" x14ac:dyDescent="0.2">
      <c r="H225" s="280">
        <f t="shared" si="45"/>
        <v>2.7329256023812256E-4</v>
      </c>
      <c r="I225" s="114">
        <f t="shared" si="41"/>
        <v>-9.6349045697502884</v>
      </c>
      <c r="J225" s="242">
        <f t="shared" si="46"/>
        <v>76.9857992032222</v>
      </c>
      <c r="K225" s="242">
        <f t="shared" si="42"/>
        <v>-40.045339934077319</v>
      </c>
      <c r="L225" s="2">
        <f t="shared" si="43"/>
        <v>-7.4160420372463944</v>
      </c>
      <c r="M225">
        <f t="shared" si="44"/>
        <v>-30.940459269144888</v>
      </c>
    </row>
    <row r="226" spans="8:13" x14ac:dyDescent="0.2">
      <c r="H226" s="280">
        <f t="shared" si="45"/>
        <v>2.8695718825002869E-4</v>
      </c>
      <c r="I226" s="114">
        <f t="shared" si="41"/>
        <v>-8.171723320982224</v>
      </c>
      <c r="J226" s="242">
        <f t="shared" si="46"/>
        <v>84.749688363016332</v>
      </c>
      <c r="K226" s="242">
        <f t="shared" si="42"/>
        <v>-52.507926367222666</v>
      </c>
      <c r="L226" s="2">
        <f t="shared" si="43"/>
        <v>-8.1639374800093627</v>
      </c>
      <c r="M226">
        <f t="shared" si="44"/>
        <v>-26.241761995793674</v>
      </c>
    </row>
    <row r="227" spans="8:13" x14ac:dyDescent="0.2">
      <c r="H227" s="280">
        <f t="shared" si="45"/>
        <v>3.0062181626193483E-4</v>
      </c>
      <c r="I227" s="114">
        <f t="shared" si="41"/>
        <v>-6.4193322256144079</v>
      </c>
      <c r="J227" s="242">
        <f t="shared" si="46"/>
        <v>89.379397886461589</v>
      </c>
      <c r="K227" s="242">
        <f t="shared" si="42"/>
        <v>-62.765069449280254</v>
      </c>
      <c r="L227" s="2">
        <f t="shared" si="43"/>
        <v>-8.6099173984028443</v>
      </c>
      <c r="M227">
        <f t="shared" si="44"/>
        <v>-20.614328437181339</v>
      </c>
    </row>
    <row r="228" spans="8:13" x14ac:dyDescent="0.2">
      <c r="H228" s="280">
        <f t="shared" si="45"/>
        <v>3.1428644427384096E-4</v>
      </c>
      <c r="I228" s="114">
        <f t="shared" si="41"/>
        <v>-4.4397510975792001</v>
      </c>
      <c r="J228" s="242">
        <f t="shared" si="46"/>
        <v>90.73847385158588</v>
      </c>
      <c r="K228" s="242">
        <f t="shared" si="42"/>
        <v>-70.48115173642239</v>
      </c>
      <c r="L228" s="2">
        <f t="shared" si="43"/>
        <v>-8.740837186123267</v>
      </c>
      <c r="M228">
        <f t="shared" si="44"/>
        <v>-14.25732211516349</v>
      </c>
    </row>
    <row r="229" spans="8:13" x14ac:dyDescent="0.2">
      <c r="H229" s="280">
        <f t="shared" si="45"/>
        <v>3.2795107228574709E-4</v>
      </c>
      <c r="I229" s="114">
        <f t="shared" si="41"/>
        <v>-2.3030403552097733</v>
      </c>
      <c r="J229" s="242">
        <f t="shared" si="46"/>
        <v>88.809677774896443</v>
      </c>
      <c r="K229" s="242">
        <f t="shared" si="42"/>
        <v>-75.41395052199934</v>
      </c>
      <c r="L229" s="2">
        <f t="shared" si="43"/>
        <v>-8.5550362600557737</v>
      </c>
      <c r="M229">
        <f t="shared" si="44"/>
        <v>-7.3957272528970952</v>
      </c>
    </row>
    <row r="230" spans="8:13" x14ac:dyDescent="0.2">
      <c r="H230" s="280">
        <f t="shared" si="45"/>
        <v>3.4161570029765323E-4</v>
      </c>
      <c r="I230" s="114">
        <f t="shared" si="41"/>
        <v>-8.4821475366685745E-2</v>
      </c>
      <c r="J230" s="242">
        <f t="shared" si="46"/>
        <v>83.694469553145183</v>
      </c>
      <c r="K230" s="242">
        <f t="shared" si="42"/>
        <v>-77.422083315717231</v>
      </c>
      <c r="L230" s="2">
        <f t="shared" si="43"/>
        <v>-8.0622882520544756</v>
      </c>
      <c r="M230">
        <f t="shared" si="44"/>
        <v>-0.2723862374279577</v>
      </c>
    </row>
    <row r="231" spans="8:13" x14ac:dyDescent="0.2">
      <c r="H231" s="280">
        <f t="shared" si="45"/>
        <v>3.5528032830955936E-4</v>
      </c>
      <c r="I231" s="114">
        <f t="shared" si="41"/>
        <v>2.1363993668429173</v>
      </c>
      <c r="J231" s="242">
        <f t="shared" si="46"/>
        <v>75.608220330836687</v>
      </c>
      <c r="K231" s="242">
        <f t="shared" si="42"/>
        <v>-76.468815276422475</v>
      </c>
      <c r="L231" s="2">
        <f t="shared" si="43"/>
        <v>-7.2833398644694984</v>
      </c>
      <c r="M231">
        <f t="shared" si="44"/>
        <v>6.8605949455857855</v>
      </c>
    </row>
    <row r="232" spans="8:13" x14ac:dyDescent="0.2">
      <c r="H232" s="280">
        <f t="shared" si="45"/>
        <v>3.689449563214655E-4</v>
      </c>
      <c r="I232" s="114">
        <f t="shared" si="41"/>
        <v>4.2820097522503362</v>
      </c>
      <c r="J232" s="242">
        <f t="shared" si="46"/>
        <v>64.87136765433911</v>
      </c>
      <c r="K232" s="242">
        <f t="shared" si="42"/>
        <v>-72.62213678448073</v>
      </c>
      <c r="L232" s="2">
        <f t="shared" si="43"/>
        <v>-6.2490588461424865</v>
      </c>
      <c r="M232">
        <f t="shared" si="44"/>
        <v>13.750769130141624</v>
      </c>
    </row>
    <row r="233" spans="8:13" x14ac:dyDescent="0.2">
      <c r="H233" s="280">
        <f t="shared" si="45"/>
        <v>3.8260958433337163E-4</v>
      </c>
      <c r="I233" s="114">
        <f t="shared" si="41"/>
        <v>6.2760732319509618</v>
      </c>
      <c r="J233" s="242">
        <f t="shared" si="46"/>
        <v>51.896869306587803</v>
      </c>
      <c r="K233" s="242">
        <f t="shared" si="42"/>
        <v>-66.051151769645145</v>
      </c>
      <c r="L233" s="2">
        <f t="shared" si="43"/>
        <v>-4.9992254203036026</v>
      </c>
      <c r="M233">
        <f t="shared" si="44"/>
        <v>20.154282463057339</v>
      </c>
    </row>
    <row r="234" spans="8:13" x14ac:dyDescent="0.2">
      <c r="H234" s="280">
        <f t="shared" si="45"/>
        <v>3.9627421234527776E-4</v>
      </c>
      <c r="I234" s="114">
        <f t="shared" si="41"/>
        <v>8.048016834929772</v>
      </c>
      <c r="J234" s="242">
        <f t="shared" si="46"/>
        <v>37.174442104086069</v>
      </c>
      <c r="K234" s="242">
        <f t="shared" si="42"/>
        <v>-57.018946870674604</v>
      </c>
      <c r="L234" s="2">
        <f t="shared" si="43"/>
        <v>-3.5810140078866111</v>
      </c>
      <c r="M234">
        <f t="shared" si="44"/>
        <v>25.844504766588535</v>
      </c>
    </row>
    <row r="235" spans="8:13" x14ac:dyDescent="0.2">
      <c r="H235" s="280">
        <f t="shared" si="45"/>
        <v>4.099388403571839E-4</v>
      </c>
      <c r="I235" s="114">
        <f t="shared" si="41"/>
        <v>9.5351287539618301</v>
      </c>
      <c r="J235" s="242">
        <f t="shared" si="46"/>
        <v>21.25218314009485</v>
      </c>
      <c r="K235" s="242">
        <f t="shared" si="42"/>
        <v>-45.872233468798257</v>
      </c>
      <c r="L235" s="2">
        <f t="shared" si="43"/>
        <v>-2.0472228018853369</v>
      </c>
      <c r="M235">
        <f t="shared" si="44"/>
        <v>30.620050328703407</v>
      </c>
    </row>
    <row r="236" spans="8:13" x14ac:dyDescent="0.2">
      <c r="H236" s="280">
        <f t="shared" si="45"/>
        <v>4.2360346836909003E-4</v>
      </c>
      <c r="I236" s="114">
        <f t="shared" si="41"/>
        <v>10.684777812845228</v>
      </c>
      <c r="J236" s="242">
        <f t="shared" si="46"/>
        <v>4.7162596470675737</v>
      </c>
      <c r="K236" s="242">
        <f t="shared" si="42"/>
        <v>-33.028164899987878</v>
      </c>
      <c r="L236" s="2">
        <f t="shared" si="43"/>
        <v>-0.45431729180201935</v>
      </c>
      <c r="M236">
        <f t="shared" si="44"/>
        <v>34.311905252920305</v>
      </c>
    </row>
    <row r="237" spans="8:13" x14ac:dyDescent="0.2">
      <c r="H237" s="280">
        <f t="shared" si="45"/>
        <v>4.3726809638099616E-4</v>
      </c>
      <c r="I237" s="114">
        <f t="shared" ref="I237:I254" si="47">(E$192/(2*J$200*E$194))*EXP(-H$205*J$192)*SIN(J$200*H237)+(E$70/E$194)*I$87*EXP(-H$205*J$192)*COS(J$200*H237)</f>
        <v>11.456276164610218</v>
      </c>
      <c r="J237" s="242">
        <f t="shared" si="46"/>
        <v>-11.83058315631536</v>
      </c>
      <c r="K237" s="242">
        <f t="shared" ref="K237:K254" si="48">E$192*(1-EXP(-J$192*H237)*(COS(J$200*H237)+(J$192/J$200)*SIN(H237*J$200)))+B$198*SQRT(E$194/E$195)*EXP(-H237*J$192)*SIN(J$200*H237)</f>
        <v>-18.958825963528636</v>
      </c>
      <c r="L237" s="2">
        <f t="shared" ref="L237:L254" si="49">-0.001*$B$20*J237</f>
        <v>1.1396400754478586</v>
      </c>
      <c r="M237">
        <f t="shared" ref="M237:M254" si="50">I237*E$193</f>
        <v>36.789409119843995</v>
      </c>
    </row>
    <row r="238" spans="8:13" x14ac:dyDescent="0.2">
      <c r="H238" s="280">
        <f t="shared" ref="H238:H254" si="51">H237+$B$199</f>
        <v>4.509327243929023E-4</v>
      </c>
      <c r="I238" s="114">
        <f t="shared" si="47"/>
        <v>11.822319296952397</v>
      </c>
      <c r="J238" s="242">
        <f t="shared" ref="J238:J254" si="52">E$192-I238*E$193-K238</f>
        <v>-27.79091121330066</v>
      </c>
      <c r="K238" s="242">
        <f t="shared" si="48"/>
        <v>-4.173968046905812</v>
      </c>
      <c r="L238" s="2">
        <f t="shared" si="49"/>
        <v>2.6770984771772524</v>
      </c>
      <c r="M238">
        <f t="shared" si="50"/>
        <v>37.964879260206473</v>
      </c>
    </row>
    <row r="239" spans="8:13" x14ac:dyDescent="0.2">
      <c r="H239" s="280">
        <f t="shared" si="51"/>
        <v>4.6459735240480843E-4</v>
      </c>
      <c r="I239" s="114">
        <f t="shared" si="47"/>
        <v>11.769952380884629</v>
      </c>
      <c r="J239" s="242">
        <f t="shared" si="52"/>
        <v>-42.594095667239934</v>
      </c>
      <c r="K239" s="242">
        <f t="shared" si="48"/>
        <v>10.797381687957204</v>
      </c>
      <c r="L239" s="2">
        <f t="shared" si="49"/>
        <v>4.1030892356252231</v>
      </c>
      <c r="M239">
        <f t="shared" si="50"/>
        <v>37.796713979282728</v>
      </c>
    </row>
    <row r="240" spans="8:13" x14ac:dyDescent="0.2">
      <c r="H240" s="280">
        <f t="shared" si="51"/>
        <v>4.7826198041671456E-4</v>
      </c>
      <c r="I240" s="114">
        <f t="shared" si="47"/>
        <v>11.301028762043805</v>
      </c>
      <c r="J240" s="242">
        <f t="shared" si="52"/>
        <v>-55.716641165871735</v>
      </c>
      <c r="K240" s="242">
        <f t="shared" si="48"/>
        <v>25.425776261071391</v>
      </c>
      <c r="L240" s="2">
        <f t="shared" si="49"/>
        <v>5.3671840435084244</v>
      </c>
      <c r="M240">
        <f t="shared" si="50"/>
        <v>36.290864904800344</v>
      </c>
    </row>
    <row r="241" spans="8:13" x14ac:dyDescent="0.2">
      <c r="H241" s="280">
        <f t="shared" si="51"/>
        <v>4.919266084286207E-4</v>
      </c>
      <c r="I241" s="114">
        <f t="shared" si="47"/>
        <v>10.432144367940552</v>
      </c>
      <c r="J241" s="242">
        <f t="shared" si="52"/>
        <v>-66.700626824729298</v>
      </c>
      <c r="K241" s="242">
        <f t="shared" si="48"/>
        <v>39.200000475041499</v>
      </c>
      <c r="L241" s="2">
        <f t="shared" si="49"/>
        <v>6.4252713820261729</v>
      </c>
      <c r="M241">
        <f t="shared" si="50"/>
        <v>33.500626349687799</v>
      </c>
    </row>
    <row r="242" spans="8:13" x14ac:dyDescent="0.2">
      <c r="H242" s="280">
        <f t="shared" si="51"/>
        <v>5.0559123644052678E-4</v>
      </c>
      <c r="I242" s="114">
        <f t="shared" si="47"/>
        <v>9.1940503525800938</v>
      </c>
      <c r="J242" s="242">
        <f t="shared" si="52"/>
        <v>-75.169612784195252</v>
      </c>
      <c r="K242" s="242">
        <f t="shared" si="48"/>
        <v>51.644863639757766</v>
      </c>
      <c r="L242" s="2">
        <f t="shared" si="49"/>
        <v>7.2410887995015285</v>
      </c>
      <c r="M242">
        <f t="shared" si="50"/>
        <v>29.524749144437482</v>
      </c>
    </row>
    <row r="243" spans="8:13" x14ac:dyDescent="0.2">
      <c r="H243" s="280">
        <f t="shared" si="51"/>
        <v>5.1925586445243286E-4</v>
      </c>
      <c r="I243" s="114">
        <f t="shared" si="47"/>
        <v>7.6305647658637348</v>
      </c>
      <c r="J243" s="242">
        <f t="shared" si="52"/>
        <v>-80.841462450031798</v>
      </c>
      <c r="K243" s="242">
        <f t="shared" si="48"/>
        <v>62.337516756577159</v>
      </c>
      <c r="L243" s="2">
        <f t="shared" si="49"/>
        <v>7.7874580778115634</v>
      </c>
      <c r="M243">
        <f t="shared" si="50"/>
        <v>24.503945693454639</v>
      </c>
    </row>
    <row r="244" spans="8:13" x14ac:dyDescent="0.2">
      <c r="H244" s="280">
        <f t="shared" si="51"/>
        <v>5.3292049246433893E-4</v>
      </c>
      <c r="I244" s="114">
        <f t="shared" si="47"/>
        <v>5.7970217654634784</v>
      </c>
      <c r="J244" s="242">
        <f t="shared" si="52"/>
        <v>-83.53764657847789</v>
      </c>
      <c r="K244" s="242">
        <f t="shared" si="48"/>
        <v>70.92173663165859</v>
      </c>
      <c r="L244" s="2">
        <f t="shared" si="49"/>
        <v>8.0471814949047751</v>
      </c>
      <c r="M244">
        <f t="shared" si="50"/>
        <v>18.615909946819304</v>
      </c>
    </row>
    <row r="245" spans="8:13" x14ac:dyDescent="0.2">
      <c r="H245" s="280">
        <f t="shared" si="51"/>
        <v>5.4658512047624501E-4</v>
      </c>
      <c r="I245" s="114">
        <f t="shared" si="47"/>
        <v>3.7583132559446804</v>
      </c>
      <c r="J245" s="242">
        <f t="shared" si="52"/>
        <v>-83.188726009191157</v>
      </c>
      <c r="K245" s="242">
        <f t="shared" si="48"/>
        <v>77.119697470877625</v>
      </c>
      <c r="L245" s="2">
        <f t="shared" si="49"/>
        <v>8.0135699764653836</v>
      </c>
      <c r="M245">
        <f t="shared" si="50"/>
        <v>12.069028538313532</v>
      </c>
    </row>
    <row r="246" spans="8:13" x14ac:dyDescent="0.2">
      <c r="H246" s="280">
        <f t="shared" si="51"/>
        <v>5.6024974848815109E-4</v>
      </c>
      <c r="I246" s="114">
        <f t="shared" si="47"/>
        <v>1.5865922645379213</v>
      </c>
      <c r="J246" s="242">
        <f t="shared" si="52"/>
        <v>-79.835850232018956</v>
      </c>
      <c r="K246" s="242">
        <f t="shared" si="48"/>
        <v>80.740844569814641</v>
      </c>
      <c r="L246" s="2">
        <f t="shared" si="49"/>
        <v>7.6905874528503864</v>
      </c>
      <c r="M246">
        <f t="shared" si="50"/>
        <v>5.0950056622043105</v>
      </c>
    </row>
    <row r="247" spans="8:13" x14ac:dyDescent="0.2">
      <c r="H247" s="280">
        <f t="shared" si="51"/>
        <v>5.7391437650005717E-4</v>
      </c>
      <c r="I247" s="114">
        <f t="shared" si="47"/>
        <v>-0.6412806653791846</v>
      </c>
      <c r="J247" s="242">
        <f t="shared" si="52"/>
        <v>-73.628253958965004</v>
      </c>
      <c r="K247" s="242">
        <f t="shared" si="48"/>
        <v>81.687591253238693</v>
      </c>
      <c r="L247" s="2">
        <f t="shared" si="49"/>
        <v>7.0926097038670992</v>
      </c>
      <c r="M247">
        <f t="shared" si="50"/>
        <v>-2.0593372942736923</v>
      </c>
    </row>
    <row r="248" spans="8:13" x14ac:dyDescent="0.2">
      <c r="H248" s="280">
        <f t="shared" si="51"/>
        <v>5.8757900451196325E-4</v>
      </c>
      <c r="I248" s="114">
        <f t="shared" si="47"/>
        <v>-2.8464576870310792</v>
      </c>
      <c r="J248" s="242">
        <f t="shared" si="52"/>
        <v>-64.816878202834062</v>
      </c>
      <c r="K248" s="242">
        <f t="shared" si="48"/>
        <v>79.957675341960481</v>
      </c>
      <c r="L248" s="2">
        <f t="shared" si="49"/>
        <v>6.2438098772790047</v>
      </c>
      <c r="M248">
        <f t="shared" si="50"/>
        <v>-9.1407971391264162</v>
      </c>
    </row>
    <row r="249" spans="8:13" x14ac:dyDescent="0.2">
      <c r="H249" s="280">
        <f t="shared" si="51"/>
        <v>6.0124363252386933E-4</v>
      </c>
      <c r="I249" s="114">
        <f t="shared" si="47"/>
        <v>-4.9508941967146871</v>
      </c>
      <c r="J249" s="242">
        <f t="shared" si="52"/>
        <v>-53.744380850913394</v>
      </c>
      <c r="K249" s="242">
        <f t="shared" si="48"/>
        <v>75.643130976600077</v>
      </c>
      <c r="L249" s="2">
        <f t="shared" si="49"/>
        <v>5.1771962073684872</v>
      </c>
      <c r="M249">
        <f t="shared" si="50"/>
        <v>-15.898750125686682</v>
      </c>
    </row>
    <row r="250" spans="8:13" x14ac:dyDescent="0.2">
      <c r="H250" s="280">
        <f t="shared" si="51"/>
        <v>6.1490826053577541E-4</v>
      </c>
      <c r="I250" s="114">
        <f t="shared" si="47"/>
        <v>-6.8801109522630863</v>
      </c>
      <c r="J250" s="242">
        <f t="shared" si="52"/>
        <v>-40.831929433558301</v>
      </c>
      <c r="K250" s="242">
        <f t="shared" si="48"/>
        <v>68.925951345724556</v>
      </c>
      <c r="L250" s="2">
        <f t="shared" si="49"/>
        <v>3.9333397623346711</v>
      </c>
      <c r="M250">
        <f t="shared" si="50"/>
        <v>-22.094021912166259</v>
      </c>
    </row>
    <row r="251" spans="8:13" x14ac:dyDescent="0.2">
      <c r="H251" s="280">
        <f t="shared" si="51"/>
        <v>6.2857288854768149E-4</v>
      </c>
      <c r="I251" s="114">
        <f t="shared" si="47"/>
        <v>-8.5658300078851717</v>
      </c>
      <c r="J251" s="242">
        <f t="shared" si="52"/>
        <v>-26.563281222475595</v>
      </c>
      <c r="K251" s="242">
        <f t="shared" si="48"/>
        <v>60.070633531649435</v>
      </c>
      <c r="L251" s="2">
        <f t="shared" si="49"/>
        <v>2.5588408801610742</v>
      </c>
      <c r="M251">
        <f t="shared" si="50"/>
        <v>-27.507352309173843</v>
      </c>
    </row>
    <row r="252" spans="8:13" x14ac:dyDescent="0.2">
      <c r="H252" s="280">
        <f t="shared" si="51"/>
        <v>6.4223751655958757E-4</v>
      </c>
      <c r="I252" s="114">
        <f t="shared" si="47"/>
        <v>-9.9483911755965195</v>
      </c>
      <c r="J252" s="242">
        <f t="shared" si="52"/>
        <v>-11.46674903961992</v>
      </c>
      <c r="K252" s="242">
        <f t="shared" si="48"/>
        <v>49.413904274395861</v>
      </c>
      <c r="L252" s="2">
        <f t="shared" si="49"/>
        <v>1.1045919349865869</v>
      </c>
      <c r="M252">
        <f t="shared" si="50"/>
        <v>-31.947155234775941</v>
      </c>
    </row>
    <row r="253" spans="8:13" x14ac:dyDescent="0.2">
      <c r="H253" s="280">
        <f t="shared" si="51"/>
        <v>6.5590214457149365E-4</v>
      </c>
      <c r="I253" s="114">
        <f t="shared" si="47"/>
        <v>-10.978863490957597</v>
      </c>
      <c r="J253" s="242">
        <f t="shared" si="52"/>
        <v>3.9042779727587629</v>
      </c>
      <c r="K253" s="242">
        <f t="shared" si="48"/>
        <v>37.352021267606133</v>
      </c>
      <c r="L253" s="2">
        <f t="shared" si="49"/>
        <v>-0.3760990971158516</v>
      </c>
      <c r="M253">
        <f t="shared" si="50"/>
        <v>-35.256299240364896</v>
      </c>
    </row>
    <row r="254" spans="8:13" x14ac:dyDescent="0.2">
      <c r="H254" s="280">
        <f t="shared" si="51"/>
        <v>6.6956677258339973E-4</v>
      </c>
      <c r="I254" s="114">
        <f t="shared" si="47"/>
        <v>-11.62077695510223</v>
      </c>
      <c r="J254" s="242">
        <f t="shared" si="52"/>
        <v>18.991543232108434</v>
      </c>
      <c r="K254" s="242">
        <f t="shared" si="48"/>
        <v>24.326125401995824</v>
      </c>
      <c r="L254" s="2">
        <f t="shared" si="49"/>
        <v>-1.8294553595490055</v>
      </c>
      <c r="M254">
        <f t="shared" si="50"/>
        <v>-37.317668634104258</v>
      </c>
    </row>
  </sheetData>
  <phoneticPr fontId="0" type="noConversion"/>
  <pageMargins left="0.78740157499999996" right="0.78740157499999996" top="0.984251969" bottom="0.984251969" header="0.5" footer="0.5"/>
  <pageSetup paperSize="9" scale="77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9"/>
  <sheetViews>
    <sheetView workbookViewId="0">
      <selection activeCell="P14" sqref="P14"/>
    </sheetView>
  </sheetViews>
  <sheetFormatPr baseColWidth="10" defaultColWidth="9.140625" defaultRowHeight="12.75" x14ac:dyDescent="0.2"/>
  <cols>
    <col min="1" max="1" width="36.5703125" customWidth="1"/>
    <col min="2" max="2" width="9.140625" style="316" customWidth="1"/>
    <col min="3" max="3" width="10.140625" bestFit="1" customWidth="1"/>
    <col min="4" max="4" width="9.140625" customWidth="1"/>
    <col min="5" max="5" width="10.5703125" customWidth="1"/>
  </cols>
  <sheetData>
    <row r="1" spans="1:8" ht="20.25" x14ac:dyDescent="0.3">
      <c r="A1" s="46" t="s">
        <v>728</v>
      </c>
    </row>
    <row r="2" spans="1:8" ht="20.25" x14ac:dyDescent="0.3">
      <c r="A2" s="46" t="s">
        <v>729</v>
      </c>
    </row>
    <row r="4" spans="1:8" ht="20.25" x14ac:dyDescent="0.3">
      <c r="A4" s="46" t="s">
        <v>331</v>
      </c>
    </row>
    <row r="6" spans="1:8" x14ac:dyDescent="0.2">
      <c r="A6" s="40" t="s">
        <v>730</v>
      </c>
      <c r="E6" t="s">
        <v>756</v>
      </c>
    </row>
    <row r="7" spans="1:8" x14ac:dyDescent="0.2">
      <c r="A7" t="s">
        <v>731</v>
      </c>
      <c r="B7" s="316">
        <v>15</v>
      </c>
      <c r="E7" s="2" t="s">
        <v>874</v>
      </c>
      <c r="F7" s="2" t="s">
        <v>523</v>
      </c>
      <c r="G7" t="s">
        <v>755</v>
      </c>
    </row>
    <row r="8" spans="1:8" x14ac:dyDescent="0.2">
      <c r="A8" t="s">
        <v>733</v>
      </c>
      <c r="B8" s="353" t="s">
        <v>734</v>
      </c>
      <c r="E8" s="2">
        <v>5</v>
      </c>
      <c r="F8" s="295">
        <v>49.1</v>
      </c>
      <c r="G8" s="295">
        <f>F8/E8</f>
        <v>9.82</v>
      </c>
    </row>
    <row r="9" spans="1:8" x14ac:dyDescent="0.2">
      <c r="A9" t="s">
        <v>732</v>
      </c>
      <c r="B9" s="316">
        <v>6.9</v>
      </c>
      <c r="E9" s="2">
        <v>3</v>
      </c>
      <c r="F9" s="295">
        <v>29.9</v>
      </c>
      <c r="G9" s="295">
        <f>F9/E9</f>
        <v>9.9666666666666668</v>
      </c>
    </row>
    <row r="10" spans="1:8" x14ac:dyDescent="0.2">
      <c r="A10" t="s">
        <v>735</v>
      </c>
      <c r="B10" s="316">
        <v>141</v>
      </c>
      <c r="E10" s="2">
        <v>2</v>
      </c>
      <c r="F10" s="295">
        <v>20.100000000000001</v>
      </c>
      <c r="G10" s="295">
        <f>F10/E10</f>
        <v>10.050000000000001</v>
      </c>
    </row>
    <row r="11" spans="1:8" x14ac:dyDescent="0.2">
      <c r="E11" s="2">
        <v>1</v>
      </c>
      <c r="F11" s="295">
        <v>11.5</v>
      </c>
      <c r="G11" s="295">
        <f>F11/E11</f>
        <v>11.5</v>
      </c>
    </row>
    <row r="12" spans="1:8" x14ac:dyDescent="0.2">
      <c r="A12" t="s">
        <v>762</v>
      </c>
      <c r="B12" s="316">
        <v>27</v>
      </c>
    </row>
    <row r="13" spans="1:8" x14ac:dyDescent="0.2">
      <c r="A13" t="s">
        <v>763</v>
      </c>
      <c r="B13" s="316">
        <v>4.2</v>
      </c>
    </row>
    <row r="14" spans="1:8" x14ac:dyDescent="0.2">
      <c r="E14" t="s">
        <v>757</v>
      </c>
    </row>
    <row r="15" spans="1:8" x14ac:dyDescent="0.2">
      <c r="A15" t="s">
        <v>767</v>
      </c>
      <c r="C15" s="316">
        <v>140.80000000000001</v>
      </c>
      <c r="E15" s="2" t="s">
        <v>758</v>
      </c>
      <c r="F15" s="2" t="s">
        <v>874</v>
      </c>
      <c r="G15" s="2" t="s">
        <v>523</v>
      </c>
      <c r="H15" s="2" t="s">
        <v>759</v>
      </c>
    </row>
    <row r="16" spans="1:8" x14ac:dyDescent="0.2">
      <c r="E16" s="2">
        <v>0.26500000000000001</v>
      </c>
      <c r="F16" s="2">
        <v>8</v>
      </c>
      <c r="G16" s="295">
        <f>F16*H16</f>
        <v>80.8</v>
      </c>
      <c r="H16" s="295">
        <v>10.1</v>
      </c>
    </row>
    <row r="17" spans="1:8" x14ac:dyDescent="0.2">
      <c r="A17" t="s">
        <v>774</v>
      </c>
      <c r="B17" s="316">
        <v>6</v>
      </c>
      <c r="E17" t="s">
        <v>760</v>
      </c>
      <c r="G17" s="295">
        <v>60</v>
      </c>
      <c r="H17" s="316"/>
    </row>
    <row r="18" spans="1:8" x14ac:dyDescent="0.2">
      <c r="A18" t="s">
        <v>775</v>
      </c>
      <c r="B18" s="316">
        <v>17.5</v>
      </c>
      <c r="E18" t="s">
        <v>761</v>
      </c>
      <c r="G18" s="295">
        <f>SUM(G16:G17)</f>
        <v>140.80000000000001</v>
      </c>
    </row>
    <row r="19" spans="1:8" x14ac:dyDescent="0.2">
      <c r="A19" t="s">
        <v>780</v>
      </c>
      <c r="B19" s="316">
        <v>-17.5</v>
      </c>
      <c r="G19" s="295"/>
    </row>
    <row r="20" spans="1:8" x14ac:dyDescent="0.2">
      <c r="A20" t="s">
        <v>778</v>
      </c>
      <c r="B20" s="316">
        <v>6.4</v>
      </c>
    </row>
    <row r="21" spans="1:8" x14ac:dyDescent="0.2">
      <c r="A21" t="s">
        <v>777</v>
      </c>
      <c r="B21" s="316">
        <v>11</v>
      </c>
    </row>
    <row r="22" spans="1:8" x14ac:dyDescent="0.2">
      <c r="A22" t="s">
        <v>779</v>
      </c>
      <c r="B22" s="316">
        <v>9.8000000000000007</v>
      </c>
    </row>
    <row r="23" spans="1:8" x14ac:dyDescent="0.2">
      <c r="A23" t="s">
        <v>793</v>
      </c>
      <c r="B23" s="316">
        <v>13.4</v>
      </c>
    </row>
    <row r="24" spans="1:8" x14ac:dyDescent="0.2">
      <c r="A24" t="s">
        <v>785</v>
      </c>
      <c r="B24" s="316">
        <v>1.8</v>
      </c>
    </row>
    <row r="25" spans="1:8" x14ac:dyDescent="0.2">
      <c r="A25" t="s">
        <v>781</v>
      </c>
      <c r="B25" s="316">
        <v>40</v>
      </c>
    </row>
    <row r="26" spans="1:8" x14ac:dyDescent="0.2">
      <c r="A26" t="s">
        <v>782</v>
      </c>
      <c r="B26" s="316">
        <v>6</v>
      </c>
      <c r="C26" s="354">
        <v>38332</v>
      </c>
    </row>
    <row r="27" spans="1:8" x14ac:dyDescent="0.2">
      <c r="A27" t="s">
        <v>783</v>
      </c>
      <c r="B27" s="316">
        <v>4.5</v>
      </c>
      <c r="C27" s="354"/>
    </row>
    <row r="28" spans="1:8" x14ac:dyDescent="0.2">
      <c r="A28" t="s">
        <v>784</v>
      </c>
      <c r="B28" s="316">
        <v>3.8</v>
      </c>
      <c r="C28" s="354"/>
    </row>
    <row r="29" spans="1:8" x14ac:dyDescent="0.2">
      <c r="A29" t="s">
        <v>786</v>
      </c>
      <c r="B29" s="316">
        <v>5.4</v>
      </c>
      <c r="C29" s="354"/>
    </row>
    <row r="30" spans="1:8" x14ac:dyDescent="0.2">
      <c r="A30" t="s">
        <v>792</v>
      </c>
      <c r="B30" s="316">
        <v>6.5</v>
      </c>
      <c r="C30" s="354">
        <v>38343</v>
      </c>
    </row>
    <row r="31" spans="1:8" x14ac:dyDescent="0.2">
      <c r="A31" t="s">
        <v>794</v>
      </c>
      <c r="B31" s="316">
        <v>17.8</v>
      </c>
      <c r="C31" s="354">
        <v>38344</v>
      </c>
    </row>
    <row r="32" spans="1:8" x14ac:dyDescent="0.2">
      <c r="A32" t="s">
        <v>435</v>
      </c>
      <c r="B32" s="316">
        <v>5.2</v>
      </c>
      <c r="C32" s="354">
        <v>38370</v>
      </c>
    </row>
    <row r="34" spans="1:3" x14ac:dyDescent="0.2">
      <c r="A34" t="s">
        <v>761</v>
      </c>
      <c r="B34" s="316">
        <f>SUM(B7:B32)</f>
        <v>331.7</v>
      </c>
    </row>
    <row r="35" spans="1:3" x14ac:dyDescent="0.2">
      <c r="A35" t="s">
        <v>436</v>
      </c>
      <c r="B35" s="316">
        <f>B34/2</f>
        <v>165.85</v>
      </c>
    </row>
    <row r="37" spans="1:3" ht="20.25" x14ac:dyDescent="0.3">
      <c r="A37" s="46" t="s">
        <v>437</v>
      </c>
    </row>
    <row r="39" spans="1:3" x14ac:dyDescent="0.2">
      <c r="A39" s="40" t="s">
        <v>730</v>
      </c>
    </row>
    <row r="40" spans="1:3" x14ac:dyDescent="0.2">
      <c r="A40" t="s">
        <v>599</v>
      </c>
      <c r="B40" s="316">
        <v>60</v>
      </c>
      <c r="C40" s="354">
        <v>38390</v>
      </c>
    </row>
    <row r="41" spans="1:3" x14ac:dyDescent="0.2">
      <c r="A41" t="s">
        <v>568</v>
      </c>
      <c r="B41" s="316">
        <v>24.4</v>
      </c>
      <c r="C41" s="354">
        <v>38398</v>
      </c>
    </row>
    <row r="42" spans="1:3" x14ac:dyDescent="0.2">
      <c r="A42" t="s">
        <v>434</v>
      </c>
      <c r="B42" s="316">
        <v>3.2</v>
      </c>
      <c r="C42" s="354">
        <v>38416</v>
      </c>
    </row>
    <row r="43" spans="1:3" x14ac:dyDescent="0.2">
      <c r="B43"/>
    </row>
    <row r="44" spans="1:3" x14ac:dyDescent="0.2">
      <c r="A44" t="s">
        <v>761</v>
      </c>
      <c r="B44" s="316">
        <f>SUM(B40:B42)</f>
        <v>87.600000000000009</v>
      </c>
    </row>
    <row r="46" spans="1:3" ht="20.25" x14ac:dyDescent="0.3">
      <c r="A46" s="46" t="s">
        <v>381</v>
      </c>
    </row>
    <row r="48" spans="1:3" x14ac:dyDescent="0.2">
      <c r="A48" s="40" t="s">
        <v>730</v>
      </c>
    </row>
    <row r="49" spans="1:3" x14ac:dyDescent="0.2">
      <c r="A49" t="s">
        <v>382</v>
      </c>
      <c r="B49" s="316">
        <v>55.25</v>
      </c>
      <c r="C49" s="354">
        <v>38448</v>
      </c>
    </row>
  </sheetData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F1:BJ83"/>
  <sheetViews>
    <sheetView workbookViewId="0">
      <selection activeCell="A5" sqref="A5"/>
    </sheetView>
  </sheetViews>
  <sheetFormatPr baseColWidth="10" defaultColWidth="1.7109375" defaultRowHeight="9.9499999999999993" customHeight="1" x14ac:dyDescent="0.2"/>
  <cols>
    <col min="1" max="48" width="1.7109375" customWidth="1"/>
    <col min="49" max="55" width="5.7109375" customWidth="1"/>
    <col min="56" max="56" width="4" customWidth="1"/>
    <col min="57" max="57" width="5.7109375" customWidth="1"/>
    <col min="58" max="58" width="5.7109375" style="2" customWidth="1"/>
    <col min="59" max="62" width="5.7109375" customWidth="1"/>
  </cols>
  <sheetData>
    <row r="1" spans="6:60" ht="9.9499999999999993" customHeight="1" x14ac:dyDescent="0.2">
      <c r="F1" s="130"/>
      <c r="G1" s="148"/>
      <c r="H1" s="148"/>
      <c r="I1" s="148"/>
      <c r="J1" s="148"/>
      <c r="K1" s="148"/>
      <c r="L1" s="148"/>
      <c r="M1" s="148"/>
      <c r="N1" s="148"/>
      <c r="O1" s="148"/>
      <c r="P1" s="179">
        <v>1</v>
      </c>
      <c r="Q1" s="148"/>
      <c r="R1" s="148"/>
      <c r="S1" s="148"/>
      <c r="T1" s="148"/>
      <c r="U1" s="148"/>
      <c r="V1" s="148"/>
      <c r="W1" s="148"/>
      <c r="X1" s="148"/>
      <c r="Y1" s="148"/>
      <c r="Z1" s="179">
        <v>2</v>
      </c>
      <c r="AA1" s="148"/>
      <c r="AB1" s="148"/>
      <c r="AC1" s="148"/>
      <c r="AD1" s="148"/>
      <c r="AE1" s="148"/>
      <c r="AF1" s="148"/>
      <c r="AG1" s="148"/>
      <c r="AH1" s="148"/>
      <c r="AI1" s="148"/>
      <c r="AJ1" s="180">
        <v>3</v>
      </c>
    </row>
    <row r="2" spans="6:60" ht="9.9499999999999993" customHeight="1" x14ac:dyDescent="0.2">
      <c r="F2" s="141"/>
      <c r="G2" s="181">
        <v>1</v>
      </c>
      <c r="H2" s="181">
        <v>2</v>
      </c>
      <c r="I2" s="181">
        <v>3</v>
      </c>
      <c r="J2" s="181">
        <v>4</v>
      </c>
      <c r="K2" s="181">
        <v>5</v>
      </c>
      <c r="L2" s="181">
        <v>6</v>
      </c>
      <c r="M2" s="181">
        <v>7</v>
      </c>
      <c r="N2" s="181">
        <v>8</v>
      </c>
      <c r="O2" s="181">
        <v>9</v>
      </c>
      <c r="P2" s="181">
        <v>0</v>
      </c>
      <c r="Q2" s="181">
        <v>1</v>
      </c>
      <c r="R2" s="181">
        <v>2</v>
      </c>
      <c r="S2" s="181">
        <v>3</v>
      </c>
      <c r="T2" s="181">
        <v>4</v>
      </c>
      <c r="U2" s="181">
        <v>5</v>
      </c>
      <c r="V2" s="181">
        <v>6</v>
      </c>
      <c r="W2" s="181">
        <v>7</v>
      </c>
      <c r="X2" s="181">
        <v>8</v>
      </c>
      <c r="Y2" s="181">
        <v>9</v>
      </c>
      <c r="Z2" s="181">
        <v>0</v>
      </c>
      <c r="AA2" s="181">
        <v>1</v>
      </c>
      <c r="AB2" s="181">
        <v>2</v>
      </c>
      <c r="AC2" s="181">
        <v>3</v>
      </c>
      <c r="AD2" s="181">
        <v>4</v>
      </c>
      <c r="AE2" s="181">
        <v>5</v>
      </c>
      <c r="AF2" s="181">
        <v>6</v>
      </c>
      <c r="AG2" s="181">
        <v>7</v>
      </c>
      <c r="AH2" s="181">
        <v>8</v>
      </c>
      <c r="AI2" s="181">
        <v>9</v>
      </c>
      <c r="AJ2" s="182">
        <v>0</v>
      </c>
    </row>
    <row r="5" spans="6:60" ht="18" x14ac:dyDescent="0.2">
      <c r="F5" s="198" t="s">
        <v>27</v>
      </c>
    </row>
    <row r="8" spans="6:60" ht="9.9499999999999993" customHeight="1" x14ac:dyDescent="0.2">
      <c r="AP8" s="33"/>
      <c r="AW8" s="173" t="s">
        <v>21</v>
      </c>
      <c r="AX8" s="199">
        <v>30.8</v>
      </c>
      <c r="AY8" s="174" t="s">
        <v>904</v>
      </c>
      <c r="AZ8" s="175" t="s">
        <v>6</v>
      </c>
      <c r="BA8" s="173"/>
      <c r="BB8" s="199">
        <v>0.35</v>
      </c>
      <c r="BC8" s="175" t="s">
        <v>904</v>
      </c>
      <c r="BD8" s="171" t="s">
        <v>33</v>
      </c>
      <c r="BF8" s="176">
        <v>7.6</v>
      </c>
      <c r="BG8" s="171" t="s">
        <v>32</v>
      </c>
    </row>
    <row r="9" spans="6:60" ht="9.9499999999999993" customHeight="1" x14ac:dyDescent="0.2">
      <c r="AP9" s="33"/>
      <c r="AZ9" s="175" t="s">
        <v>140</v>
      </c>
      <c r="BB9" s="199">
        <v>300</v>
      </c>
      <c r="BC9" s="175" t="s">
        <v>904</v>
      </c>
    </row>
    <row r="10" spans="6:60" ht="9.9499999999999993" customHeight="1" x14ac:dyDescent="0.2">
      <c r="AP10" s="33"/>
    </row>
    <row r="11" spans="6:60" ht="9.9499999999999993" customHeight="1" thickBot="1" x14ac:dyDescent="0.25">
      <c r="AP11" s="33"/>
      <c r="AW11" s="178" t="s">
        <v>20</v>
      </c>
      <c r="AX11" s="178"/>
      <c r="AY11" s="178"/>
      <c r="AZ11" s="178"/>
      <c r="BA11" s="178"/>
    </row>
    <row r="12" spans="6:60" ht="9.9499999999999993" customHeight="1" x14ac:dyDescent="0.2">
      <c r="N12" s="160"/>
      <c r="O12" s="161"/>
      <c r="P12" s="161"/>
      <c r="Q12" s="161"/>
      <c r="R12" s="161"/>
      <c r="S12" s="161"/>
      <c r="T12" s="161"/>
      <c r="U12" s="161"/>
      <c r="V12" s="161"/>
      <c r="W12" s="201" t="s">
        <v>37</v>
      </c>
      <c r="X12" s="169"/>
      <c r="Y12" s="201"/>
      <c r="Z12" s="201"/>
      <c r="AA12" s="201"/>
      <c r="AB12" s="8"/>
      <c r="AP12" s="33"/>
      <c r="AU12" s="173"/>
      <c r="AV12" s="173"/>
      <c r="AX12" s="173"/>
      <c r="AY12" s="173"/>
      <c r="AZ12" s="173"/>
      <c r="BA12" s="173"/>
      <c r="BB12" s="173"/>
      <c r="BC12" s="173"/>
      <c r="BF12" s="176" t="s">
        <v>13</v>
      </c>
      <c r="BG12" s="176" t="s">
        <v>13</v>
      </c>
      <c r="BH12" s="171"/>
    </row>
    <row r="13" spans="6:60" ht="9.9499999999999993" customHeight="1" thickBot="1" x14ac:dyDescent="0.25">
      <c r="N13" s="164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6"/>
      <c r="AP13" s="33"/>
      <c r="AQ13" s="33"/>
      <c r="AR13" s="33"/>
      <c r="AS13" s="33"/>
      <c r="AT13" s="33"/>
      <c r="AU13" s="173"/>
      <c r="AV13" s="173"/>
      <c r="AW13" s="171" t="s">
        <v>44</v>
      </c>
      <c r="AX13" s="176" t="s">
        <v>7</v>
      </c>
      <c r="BA13" s="173"/>
      <c r="BB13" s="171" t="s">
        <v>40</v>
      </c>
      <c r="BF13" s="176" t="s">
        <v>7</v>
      </c>
      <c r="BG13" s="176" t="s">
        <v>10</v>
      </c>
      <c r="BH13" s="171"/>
    </row>
    <row r="14" spans="6:60" ht="9.9499999999999993" customHeight="1" x14ac:dyDescent="0.2">
      <c r="L14" s="160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8"/>
      <c r="AP14" s="33"/>
      <c r="AQ14" s="33"/>
      <c r="AR14" s="33"/>
      <c r="AS14" s="33"/>
      <c r="AT14" s="33"/>
      <c r="AU14" s="173"/>
      <c r="AV14" s="173"/>
      <c r="AW14" s="176" t="s">
        <v>42</v>
      </c>
      <c r="AX14" s="176" t="s">
        <v>5</v>
      </c>
      <c r="AY14" s="176" t="s">
        <v>10</v>
      </c>
      <c r="BA14" s="183" t="s">
        <v>1205</v>
      </c>
      <c r="BB14" s="184" t="s">
        <v>1206</v>
      </c>
      <c r="BC14" s="185" t="s">
        <v>9</v>
      </c>
      <c r="BD14" s="131"/>
      <c r="BF14" s="176" t="s">
        <v>5</v>
      </c>
    </row>
    <row r="15" spans="6:60" ht="9.9499999999999993" customHeight="1" x14ac:dyDescent="0.2">
      <c r="L15" s="162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168" t="s">
        <v>38</v>
      </c>
      <c r="Z15" s="25"/>
      <c r="AA15" s="25"/>
      <c r="AB15" s="25"/>
      <c r="AC15" s="25"/>
      <c r="AD15" s="163"/>
      <c r="AP15" s="33"/>
      <c r="AQ15" s="33"/>
      <c r="AR15" s="33"/>
      <c r="AS15" s="33"/>
      <c r="AT15" s="33"/>
      <c r="AV15" s="173"/>
      <c r="AW15" s="176" t="s">
        <v>45</v>
      </c>
      <c r="AX15" s="176" t="s">
        <v>904</v>
      </c>
      <c r="AY15" s="176" t="s">
        <v>1063</v>
      </c>
      <c r="BA15" s="186" t="s">
        <v>904</v>
      </c>
      <c r="BB15" s="187" t="s">
        <v>904</v>
      </c>
      <c r="BC15" s="188" t="s">
        <v>8</v>
      </c>
      <c r="BD15" s="133"/>
      <c r="BF15" s="176" t="s">
        <v>904</v>
      </c>
      <c r="BG15" s="176" t="s">
        <v>1063</v>
      </c>
    </row>
    <row r="16" spans="6:60" ht="9.9499999999999993" customHeight="1" thickBot="1" x14ac:dyDescent="0.25">
      <c r="L16" s="164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6"/>
      <c r="AP16" s="33"/>
      <c r="AQ16" s="33"/>
      <c r="AR16" s="33"/>
      <c r="AS16" s="33"/>
      <c r="AT16" s="33"/>
      <c r="AV16" s="173"/>
      <c r="AW16" s="173"/>
      <c r="AX16" s="173"/>
      <c r="AY16" s="173"/>
      <c r="AZ16" s="173"/>
      <c r="BA16" s="189"/>
      <c r="BB16" s="190"/>
      <c r="BC16" s="25"/>
      <c r="BD16" s="191"/>
      <c r="BF16" s="205"/>
      <c r="BG16" s="173"/>
    </row>
    <row r="17" spans="6:61" ht="9.9499999999999993" customHeight="1" x14ac:dyDescent="0.2"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8"/>
      <c r="AP17" s="33"/>
      <c r="AU17" s="172" t="s">
        <v>43</v>
      </c>
      <c r="AV17" s="173"/>
      <c r="AW17" s="173">
        <v>0.90564486298539271</v>
      </c>
      <c r="AX17" s="173">
        <f>SQRT(1-AW17*AW17)*$AX$8</f>
        <v>13.060339773567888</v>
      </c>
      <c r="AY17" s="173">
        <f>AX17*BA17</f>
        <v>364.38347968254408</v>
      </c>
      <c r="AZ17" s="173"/>
      <c r="BA17" s="204">
        <f>INT(10*$AX$8*AW17+0.5)*0.1</f>
        <v>27.900000000000002</v>
      </c>
      <c r="BB17" s="190">
        <f>$BB$9</f>
        <v>300</v>
      </c>
      <c r="BC17" s="192">
        <f>INT(AX17/$BB$8+0.5)</f>
        <v>37</v>
      </c>
      <c r="BD17" s="191"/>
      <c r="BF17" s="205">
        <f>$BB$8*BC17</f>
        <v>12.95</v>
      </c>
      <c r="BG17" s="173">
        <f>BA17*BF17</f>
        <v>361.30500000000001</v>
      </c>
      <c r="BH17" s="171"/>
    </row>
    <row r="18" spans="6:61" ht="9.9499999999999993" customHeight="1" x14ac:dyDescent="0.2">
      <c r="I18" s="162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167" t="s">
        <v>39</v>
      </c>
      <c r="AC18" s="25"/>
      <c r="AD18" s="25"/>
      <c r="AE18" s="25"/>
      <c r="AF18" s="25"/>
      <c r="AG18" s="163"/>
      <c r="AP18" s="33"/>
      <c r="AU18" s="172" t="s">
        <v>43</v>
      </c>
      <c r="AV18" s="173"/>
      <c r="AW18" s="173">
        <v>0.70710534677424841</v>
      </c>
      <c r="AX18" s="173">
        <f>SQRT(1-AW18*AW18)*$AX$8-AX17</f>
        <v>8.7185932667869661</v>
      </c>
      <c r="AY18" s="173">
        <f>AX18*BA18</f>
        <v>190.06533321595586</v>
      </c>
      <c r="AZ18" s="173"/>
      <c r="BA18" s="204">
        <f>INT(10*$AX$8*AW18+0.5)*0.1</f>
        <v>21.8</v>
      </c>
      <c r="BB18" s="190">
        <f>$BB$9</f>
        <v>300</v>
      </c>
      <c r="BC18" s="192">
        <f>2*INT(AX18/$BB$8/2+0.5)</f>
        <v>24</v>
      </c>
      <c r="BD18" s="191"/>
      <c r="BF18" s="205">
        <f>$BB$8*BC18</f>
        <v>8.3999999999999986</v>
      </c>
      <c r="BG18" s="173">
        <f>BA18*BF18</f>
        <v>183.11999999999998</v>
      </c>
      <c r="BH18" s="171"/>
    </row>
    <row r="19" spans="6:61" ht="9.9499999999999993" customHeight="1" thickBot="1" x14ac:dyDescent="0.25">
      <c r="I19" s="164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6"/>
      <c r="AP19" s="33"/>
      <c r="AQ19" s="33"/>
      <c r="AR19" s="33"/>
      <c r="AS19" s="33"/>
      <c r="AT19" s="33"/>
      <c r="AU19" s="172" t="s">
        <v>43</v>
      </c>
      <c r="AV19" s="173"/>
      <c r="AW19" s="173">
        <v>0.42403372492998082</v>
      </c>
      <c r="AX19" s="173">
        <f>SQRT(1-AW19*AW19)*$AX$8-AX18-AX17</f>
        <v>6.1149760505513431</v>
      </c>
      <c r="AY19" s="173">
        <f>AX19*BA19</f>
        <v>80.106186262222607</v>
      </c>
      <c r="AZ19" s="173"/>
      <c r="BA19" s="204">
        <f>INT(10*$AX$8*AW19+0.5)*0.1</f>
        <v>13.100000000000001</v>
      </c>
      <c r="BB19" s="190">
        <f>$BB$9</f>
        <v>300</v>
      </c>
      <c r="BC19" s="192">
        <f>2*INT(AX19/$BB$8/2+0.5)</f>
        <v>18</v>
      </c>
      <c r="BD19" s="191"/>
      <c r="BF19" s="205">
        <f>$BB$8*BC19</f>
        <v>6.3</v>
      </c>
      <c r="BG19" s="173">
        <f>BA19*BF19</f>
        <v>82.53</v>
      </c>
      <c r="BH19" s="171"/>
    </row>
    <row r="20" spans="6:61" ht="9.9499999999999993" customHeight="1" x14ac:dyDescent="0.2">
      <c r="G20" s="160"/>
      <c r="H20" s="161"/>
      <c r="I20" s="161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161"/>
      <c r="AH20" s="161"/>
      <c r="AI20" s="8"/>
      <c r="AP20" s="33"/>
      <c r="AQ20" s="33"/>
      <c r="AR20" s="33"/>
      <c r="AS20" s="33"/>
      <c r="AT20" s="33"/>
      <c r="AU20" s="172"/>
      <c r="AV20" s="173"/>
      <c r="AW20" s="173"/>
      <c r="AX20" s="173"/>
      <c r="AY20" s="173"/>
      <c r="AZ20" s="173"/>
      <c r="BA20" s="189"/>
      <c r="BB20" s="190"/>
      <c r="BC20" s="192"/>
      <c r="BD20" s="191"/>
      <c r="BF20" s="205"/>
      <c r="BG20" s="173"/>
      <c r="BH20" s="171"/>
    </row>
    <row r="21" spans="6:61" ht="9.9499999999999993" customHeight="1" x14ac:dyDescent="0.2">
      <c r="G21" s="162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C21" s="25"/>
      <c r="AD21" s="25"/>
      <c r="AE21" s="25"/>
      <c r="AF21" s="25"/>
      <c r="AG21" s="25"/>
      <c r="AH21" s="25"/>
      <c r="AI21" s="163"/>
      <c r="AP21" s="33"/>
      <c r="AQ21" s="33"/>
      <c r="AR21" s="33"/>
      <c r="AS21" s="33"/>
      <c r="AT21" s="33"/>
      <c r="AU21" s="173"/>
      <c r="AV21" s="173"/>
      <c r="AW21" s="173"/>
      <c r="AX21" s="173"/>
      <c r="AY21" s="173"/>
      <c r="AZ21" s="173"/>
      <c r="BA21" s="189"/>
      <c r="BB21" s="190"/>
      <c r="BC21" s="25"/>
      <c r="BD21" s="191"/>
      <c r="BF21" s="205"/>
      <c r="BG21" s="173"/>
    </row>
    <row r="22" spans="6:61" ht="9.9499999999999993" customHeight="1" x14ac:dyDescent="0.2">
      <c r="G22" s="162"/>
      <c r="H22" s="25"/>
      <c r="I22" s="25"/>
      <c r="J22" s="178" t="s">
        <v>35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163"/>
      <c r="AP22" s="33"/>
      <c r="AQ22" s="33"/>
      <c r="AR22" s="33"/>
      <c r="AS22" s="33"/>
      <c r="AT22" s="33"/>
      <c r="AU22" s="172" t="s">
        <v>11</v>
      </c>
      <c r="AY22" s="171">
        <f>SUM(AY17:AY20)</f>
        <v>634.55499916072256</v>
      </c>
      <c r="AZ22" s="173"/>
      <c r="BA22" s="193" t="s">
        <v>28</v>
      </c>
      <c r="BB22" s="190"/>
      <c r="BC22" s="187">
        <f>SUM(BC16:BC20)</f>
        <v>79</v>
      </c>
      <c r="BD22" s="191"/>
      <c r="BF22" s="205"/>
      <c r="BG22" s="171">
        <f>SUM(BG17:BG20)</f>
        <v>626.95499999999993</v>
      </c>
    </row>
    <row r="23" spans="6:61" ht="9.9499999999999993" customHeight="1" x14ac:dyDescent="0.2">
      <c r="G23" s="162"/>
      <c r="H23" s="25"/>
      <c r="I23" s="25"/>
      <c r="J23" s="178" t="s">
        <v>36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163"/>
      <c r="AP23" s="33"/>
      <c r="AQ23" s="33"/>
      <c r="AR23" s="33"/>
      <c r="AS23" s="33"/>
      <c r="AT23" s="33"/>
      <c r="AU23" s="172" t="s">
        <v>12</v>
      </c>
      <c r="AW23" s="175"/>
      <c r="AX23" s="173"/>
      <c r="AY23" s="173">
        <f>$AX$8*$AX$8*PI()/4</f>
        <v>745.06011372535545</v>
      </c>
      <c r="AZ23" s="167"/>
      <c r="BA23" s="193" t="s">
        <v>29</v>
      </c>
      <c r="BB23" s="168"/>
      <c r="BC23" s="187">
        <f>(BA17*BB17*BC17+BA18*BB18*BC18+BA19*BB19*BC19+BA20*BB20*BC20)*0.000001</f>
        <v>0.53738999999999992</v>
      </c>
      <c r="BD23" s="194" t="s">
        <v>31</v>
      </c>
      <c r="BF23" s="205"/>
      <c r="BG23" s="173">
        <f>AY23</f>
        <v>745.06011372535545</v>
      </c>
    </row>
    <row r="24" spans="6:61" ht="9.9499999999999993" customHeight="1" x14ac:dyDescent="0.2">
      <c r="G24" s="162"/>
      <c r="H24" s="25"/>
      <c r="I24" s="25"/>
      <c r="U24" s="171" t="s">
        <v>861</v>
      </c>
      <c r="AG24" s="25"/>
      <c r="AH24" s="25"/>
      <c r="AI24" s="163"/>
      <c r="AP24" s="33"/>
      <c r="AQ24" s="33"/>
      <c r="AR24" s="33"/>
      <c r="AS24" s="33"/>
      <c r="AT24" s="33"/>
      <c r="AU24" s="172" t="s">
        <v>15</v>
      </c>
      <c r="AW24" s="175" t="s">
        <v>14</v>
      </c>
      <c r="AY24" s="208">
        <f>AY22/AY23</f>
        <v>0.85168295479931255</v>
      </c>
      <c r="AZ24" s="171" t="s">
        <v>16</v>
      </c>
      <c r="BA24" s="195" t="s">
        <v>30</v>
      </c>
      <c r="BB24" s="142"/>
      <c r="BC24" s="196">
        <f>BC23*$BB$8*$BF$8</f>
        <v>1.4294573999999995</v>
      </c>
      <c r="BD24" s="197" t="s">
        <v>874</v>
      </c>
      <c r="BF24" s="205"/>
      <c r="BG24" s="208">
        <f>BG22/BG23</f>
        <v>0.84148243671933898</v>
      </c>
    </row>
    <row r="25" spans="6:61" ht="9.9499999999999993" customHeight="1" x14ac:dyDescent="0.2">
      <c r="G25" s="162"/>
      <c r="H25" s="25"/>
      <c r="J25" s="25"/>
      <c r="K25" s="25"/>
      <c r="L25" s="25"/>
      <c r="M25" s="25"/>
      <c r="N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E25" s="167" t="s">
        <v>34</v>
      </c>
      <c r="AG25" s="25"/>
      <c r="AI25" s="163"/>
      <c r="AP25" s="33"/>
      <c r="AQ25" s="33"/>
      <c r="AR25" s="33"/>
      <c r="AS25" s="33"/>
      <c r="AT25" s="33"/>
    </row>
    <row r="26" spans="6:61" ht="9.9499999999999993" customHeight="1" x14ac:dyDescent="0.2">
      <c r="F26" s="144"/>
      <c r="G26" s="162"/>
      <c r="H26" s="25"/>
      <c r="I26" s="25"/>
      <c r="AG26" s="25"/>
      <c r="AH26" s="25"/>
      <c r="AI26" s="163"/>
      <c r="AP26" s="33"/>
      <c r="AQ26" s="33"/>
      <c r="AR26" s="33"/>
      <c r="AS26" s="33"/>
      <c r="AT26" s="33"/>
    </row>
    <row r="27" spans="6:61" ht="9.9499999999999993" customHeight="1" x14ac:dyDescent="0.2">
      <c r="F27" s="144"/>
      <c r="G27" s="162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63"/>
      <c r="AP27" s="33"/>
      <c r="AQ27" s="33"/>
      <c r="AR27" s="33"/>
      <c r="AS27" s="33"/>
      <c r="AT27" s="33"/>
    </row>
    <row r="28" spans="6:61" ht="9.9499999999999993" customHeight="1" x14ac:dyDescent="0.2">
      <c r="F28" s="144"/>
      <c r="G28" s="162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163"/>
      <c r="AJ28" s="133"/>
      <c r="AP28" s="33"/>
      <c r="AQ28" s="33"/>
      <c r="AR28" s="33"/>
      <c r="AS28" s="33"/>
      <c r="AT28" s="33"/>
      <c r="AW28" s="178" t="s">
        <v>18</v>
      </c>
      <c r="AX28" s="178"/>
      <c r="AY28" s="178"/>
      <c r="AZ28" s="178"/>
      <c r="BA28" s="178"/>
    </row>
    <row r="29" spans="6:61" ht="9.9499999999999993" customHeight="1" x14ac:dyDescent="0.2">
      <c r="F29" s="144"/>
      <c r="G29" s="162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67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163"/>
      <c r="AJ29" s="133"/>
      <c r="AQ29" s="33"/>
      <c r="AR29" s="33"/>
      <c r="AS29" s="33"/>
      <c r="AT29" s="33"/>
      <c r="AU29" s="173"/>
      <c r="AV29" s="173"/>
      <c r="AX29" s="173"/>
      <c r="AY29" s="173"/>
      <c r="AZ29" s="173"/>
      <c r="BA29" s="173"/>
      <c r="BB29" s="173"/>
      <c r="BC29" s="173"/>
      <c r="BF29" s="176" t="s">
        <v>13</v>
      </c>
      <c r="BG29" s="176" t="s">
        <v>13</v>
      </c>
      <c r="BI29" s="176" t="s">
        <v>25</v>
      </c>
    </row>
    <row r="30" spans="6:61" ht="9.9499999999999993" customHeight="1" thickBot="1" x14ac:dyDescent="0.25">
      <c r="F30" s="144"/>
      <c r="G30" s="164"/>
      <c r="H30" s="165"/>
      <c r="I30" s="16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67" t="s">
        <v>3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165"/>
      <c r="AH30" s="165"/>
      <c r="AI30" s="166"/>
      <c r="AJ30" s="133"/>
      <c r="AQ30" s="33"/>
      <c r="AR30" s="33"/>
      <c r="AS30" s="33"/>
      <c r="AU30" s="173"/>
      <c r="AV30" s="173"/>
      <c r="AW30" s="171" t="s">
        <v>44</v>
      </c>
      <c r="AX30" s="176" t="s">
        <v>7</v>
      </c>
      <c r="BA30" s="173"/>
      <c r="BB30" s="171" t="s">
        <v>40</v>
      </c>
      <c r="BF30" s="176" t="s">
        <v>7</v>
      </c>
      <c r="BG30" s="176" t="s">
        <v>10</v>
      </c>
      <c r="BI30" s="176" t="s">
        <v>26</v>
      </c>
    </row>
    <row r="31" spans="6:61" ht="9.9499999999999993" customHeight="1" x14ac:dyDescent="0.2">
      <c r="F31" s="144"/>
      <c r="G31" s="202"/>
      <c r="H31" s="161"/>
      <c r="I31" s="160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8"/>
      <c r="AH31" s="161"/>
      <c r="AI31" s="203"/>
      <c r="AJ31" s="133"/>
      <c r="AQ31" s="33"/>
      <c r="AR31" s="33"/>
      <c r="AS31" s="33"/>
      <c r="AT31" s="33"/>
      <c r="AU31" s="173"/>
      <c r="AV31" s="173"/>
      <c r="AW31" s="176" t="s">
        <v>42</v>
      </c>
      <c r="AX31" s="176" t="s">
        <v>5</v>
      </c>
      <c r="AY31" s="176" t="s">
        <v>10</v>
      </c>
      <c r="BA31" s="183" t="s">
        <v>1205</v>
      </c>
      <c r="BB31" s="184" t="s">
        <v>1206</v>
      </c>
      <c r="BC31" s="185" t="s">
        <v>9</v>
      </c>
      <c r="BD31" s="131"/>
      <c r="BF31" s="176" t="s">
        <v>5</v>
      </c>
      <c r="BI31" s="176" t="s">
        <v>23</v>
      </c>
    </row>
    <row r="32" spans="6:61" ht="9.9499999999999993" customHeight="1" x14ac:dyDescent="0.2">
      <c r="F32" s="144"/>
      <c r="G32" s="144"/>
      <c r="H32" s="25"/>
      <c r="I32" s="16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7" t="s">
        <v>39</v>
      </c>
      <c r="AC32" s="25"/>
      <c r="AD32" s="25"/>
      <c r="AE32" s="25"/>
      <c r="AF32" s="25"/>
      <c r="AG32" s="163"/>
      <c r="AH32" s="25"/>
      <c r="AI32" s="133"/>
      <c r="AJ32" s="133"/>
      <c r="AQ32" s="33"/>
      <c r="AR32" s="33"/>
      <c r="AS32" s="33"/>
      <c r="AT32" s="33"/>
      <c r="AV32" s="173"/>
      <c r="AW32" s="176" t="s">
        <v>45</v>
      </c>
      <c r="AX32" s="176" t="s">
        <v>904</v>
      </c>
      <c r="AY32" s="176" t="s">
        <v>1063</v>
      </c>
      <c r="BA32" s="186" t="s">
        <v>904</v>
      </c>
      <c r="BB32" s="187" t="s">
        <v>904</v>
      </c>
      <c r="BC32" s="188" t="s">
        <v>8</v>
      </c>
      <c r="BD32" s="133"/>
      <c r="BF32" s="176" t="s">
        <v>904</v>
      </c>
      <c r="BG32" s="176" t="s">
        <v>1063</v>
      </c>
      <c r="BI32" s="176" t="s">
        <v>24</v>
      </c>
    </row>
    <row r="33" spans="6:61" ht="9.9499999999999993" customHeight="1" thickBot="1" x14ac:dyDescent="0.25">
      <c r="F33" s="144"/>
      <c r="G33" s="144"/>
      <c r="H33" s="25"/>
      <c r="I33" s="164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6"/>
      <c r="AH33" s="25"/>
      <c r="AI33" s="133"/>
      <c r="AJ33" s="133"/>
      <c r="AQ33" s="33"/>
      <c r="AR33" s="33"/>
      <c r="AS33" s="33"/>
      <c r="AT33" s="33"/>
      <c r="AV33" s="173"/>
      <c r="AW33" s="173"/>
      <c r="AX33" s="173"/>
      <c r="AY33" s="173"/>
      <c r="AZ33" s="173"/>
      <c r="BA33" s="189"/>
      <c r="BB33" s="190"/>
      <c r="BC33" s="25"/>
      <c r="BD33" s="191"/>
      <c r="BF33" s="205"/>
      <c r="BG33" s="173"/>
    </row>
    <row r="34" spans="6:61" ht="9.9499999999999993" customHeight="1" x14ac:dyDescent="0.2">
      <c r="F34" s="144"/>
      <c r="G34" s="144"/>
      <c r="H34" s="25"/>
      <c r="I34" s="202"/>
      <c r="L34" s="160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8"/>
      <c r="AG34" s="203"/>
      <c r="AH34" s="25"/>
      <c r="AI34" s="133"/>
      <c r="AJ34" s="133"/>
      <c r="AQ34" s="33"/>
      <c r="AR34" s="33"/>
      <c r="AS34" s="33"/>
      <c r="AT34" s="33"/>
      <c r="AU34" s="172" t="s">
        <v>43</v>
      </c>
      <c r="AV34" s="173"/>
      <c r="AW34" s="171">
        <v>0.93330000000000002</v>
      </c>
      <c r="AX34" s="173">
        <f>SQRT(1-AW34*AW34)*$AX$8</f>
        <v>11.060207095276288</v>
      </c>
      <c r="AY34" s="173">
        <f>AX34*BA34</f>
        <v>317.42794363442948</v>
      </c>
      <c r="AZ34" s="173"/>
      <c r="BA34" s="204">
        <f>INT(10*$AX$8*AW34+0.5)*0.1</f>
        <v>28.700000000000003</v>
      </c>
      <c r="BB34" s="190">
        <f>$BB$9</f>
        <v>300</v>
      </c>
      <c r="BC34" s="192">
        <f>INT(AX34/$BB$8+0.5)</f>
        <v>32</v>
      </c>
      <c r="BD34" s="191"/>
      <c r="BF34" s="205">
        <f>$BB$8*BC34</f>
        <v>11.2</v>
      </c>
      <c r="BG34" s="173">
        <f>BA34*BF34</f>
        <v>321.44</v>
      </c>
      <c r="BI34" s="171">
        <v>0.94499999999999995</v>
      </c>
    </row>
    <row r="35" spans="6:61" ht="9.9499999999999993" customHeight="1" x14ac:dyDescent="0.2">
      <c r="F35" s="144"/>
      <c r="G35" s="144"/>
      <c r="H35" s="25"/>
      <c r="I35" s="144"/>
      <c r="L35" s="162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68" t="s">
        <v>38</v>
      </c>
      <c r="Z35" s="25"/>
      <c r="AA35" s="25"/>
      <c r="AB35" s="25"/>
      <c r="AC35" s="25"/>
      <c r="AD35" s="163"/>
      <c r="AG35" s="133"/>
      <c r="AH35" s="25"/>
      <c r="AI35" s="133"/>
      <c r="AJ35" s="133"/>
      <c r="AU35" s="172" t="s">
        <v>43</v>
      </c>
      <c r="AV35" s="173"/>
      <c r="AW35" s="171">
        <v>0.79510000000000003</v>
      </c>
      <c r="AX35" s="173">
        <f>SQRT(1-AW35*AW35)*$AX$8-AX34</f>
        <v>7.6193261096407969</v>
      </c>
      <c r="AY35" s="173">
        <f>AX35*BA35</f>
        <v>186.67348968619953</v>
      </c>
      <c r="AZ35" s="173"/>
      <c r="BA35" s="204">
        <f>INT(10*$AX$8*AW35+0.5)*0.1</f>
        <v>24.5</v>
      </c>
      <c r="BB35" s="190">
        <f>$BB$9</f>
        <v>300</v>
      </c>
      <c r="BC35" s="192">
        <f>2*INT(AX35/$BB$8/2+0.5)</f>
        <v>22</v>
      </c>
      <c r="BD35" s="191"/>
      <c r="BF35" s="205">
        <f>$BB$8*BC35</f>
        <v>7.6999999999999993</v>
      </c>
      <c r="BG35" s="173">
        <f>BA35*BF35</f>
        <v>188.64999999999998</v>
      </c>
      <c r="BI35" s="171">
        <v>0.84</v>
      </c>
    </row>
    <row r="36" spans="6:61" ht="9.9499999999999993" customHeight="1" thickBot="1" x14ac:dyDescent="0.25">
      <c r="F36" s="144"/>
      <c r="G36" s="144"/>
      <c r="H36" s="25"/>
      <c r="I36" s="144"/>
      <c r="L36" s="164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6"/>
      <c r="AG36" s="133"/>
      <c r="AH36" s="25"/>
      <c r="AI36" s="133"/>
      <c r="AJ36" s="133"/>
      <c r="AU36" s="172" t="s">
        <v>43</v>
      </c>
      <c r="AV36" s="173"/>
      <c r="AW36" s="171">
        <v>0.60650000000000004</v>
      </c>
      <c r="AX36" s="173">
        <f>SQRT(1-AW36*AW36)*$AX$8-AX35-AX34</f>
        <v>5.8090381695016351</v>
      </c>
      <c r="AY36" s="173">
        <f>AX36*BA36</f>
        <v>108.62901376968057</v>
      </c>
      <c r="AZ36" s="173"/>
      <c r="BA36" s="204">
        <f>INT(10*$AX$8*AW36+0.5)*0.1</f>
        <v>18.7</v>
      </c>
      <c r="BB36" s="190">
        <f>$BB$9</f>
        <v>300</v>
      </c>
      <c r="BC36" s="192">
        <f>2*INT(AX36/$BB$8/2+0.5)</f>
        <v>16</v>
      </c>
      <c r="BD36" s="191"/>
      <c r="BF36" s="205">
        <f>$BB$8*BC36</f>
        <v>5.6</v>
      </c>
      <c r="BG36" s="173">
        <f>BA36*BF36</f>
        <v>104.71999999999998</v>
      </c>
      <c r="BI36" s="171">
        <v>0.67</v>
      </c>
    </row>
    <row r="37" spans="6:61" ht="9.9499999999999993" customHeight="1" x14ac:dyDescent="0.2">
      <c r="F37" s="144"/>
      <c r="G37" s="144"/>
      <c r="H37" s="25"/>
      <c r="I37" s="144"/>
      <c r="L37" s="202"/>
      <c r="M37" s="161"/>
      <c r="N37" s="160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8"/>
      <c r="AC37" s="161"/>
      <c r="AD37" s="203"/>
      <c r="AG37" s="133"/>
      <c r="AH37" s="25"/>
      <c r="AI37" s="133"/>
      <c r="AJ37" s="133"/>
      <c r="AU37" s="172" t="s">
        <v>43</v>
      </c>
      <c r="AV37" s="173"/>
      <c r="AW37" s="171">
        <v>0.35909999999999997</v>
      </c>
      <c r="AX37" s="173">
        <f>SQRT(1-AW37*AW37)*$AX$8-AX36-AX35-AX34</f>
        <v>4.2570405745657709</v>
      </c>
      <c r="AY37" s="173">
        <f>AX37*BA37</f>
        <v>47.253150377680065</v>
      </c>
      <c r="AZ37" s="173"/>
      <c r="BA37" s="204">
        <f>INT(10*$AX$8*AW37+0.5)*0.1</f>
        <v>11.100000000000001</v>
      </c>
      <c r="BB37" s="190">
        <f>$BB$9</f>
        <v>300</v>
      </c>
      <c r="BC37" s="192">
        <f>2*INT(AX37/$BB$8/2+0.5)</f>
        <v>12</v>
      </c>
      <c r="BD37" s="191"/>
      <c r="BF37" s="205">
        <f>$BB$8*BC37</f>
        <v>4.1999999999999993</v>
      </c>
      <c r="BG37" s="173">
        <f>BA37*BF37</f>
        <v>46.62</v>
      </c>
      <c r="BI37" s="171">
        <v>0.5</v>
      </c>
    </row>
    <row r="38" spans="6:61" ht="9.9499999999999993" customHeight="1" thickBot="1" x14ac:dyDescent="0.25">
      <c r="F38" s="144"/>
      <c r="G38" s="144"/>
      <c r="H38" s="25"/>
      <c r="I38" s="144"/>
      <c r="L38" s="144"/>
      <c r="M38" s="25"/>
      <c r="N38" s="164"/>
      <c r="O38" s="165"/>
      <c r="P38" s="165"/>
      <c r="Q38" s="165"/>
      <c r="R38" s="165"/>
      <c r="S38" s="165"/>
      <c r="T38" s="165"/>
      <c r="U38" s="165"/>
      <c r="V38" s="165"/>
      <c r="W38" s="200" t="s">
        <v>37</v>
      </c>
      <c r="X38" s="170"/>
      <c r="Y38" s="165"/>
      <c r="Z38" s="165"/>
      <c r="AA38" s="165"/>
      <c r="AB38" s="166"/>
      <c r="AC38" s="25"/>
      <c r="AD38" s="133"/>
      <c r="AG38" s="133"/>
      <c r="AH38" s="25"/>
      <c r="AI38" s="133"/>
      <c r="AJ38" s="133"/>
      <c r="AQ38" s="33"/>
      <c r="AR38" s="33"/>
      <c r="AS38" s="33"/>
      <c r="AT38" s="33"/>
      <c r="AU38" s="173"/>
      <c r="AV38" s="173"/>
      <c r="AW38" s="173"/>
      <c r="AX38" s="173"/>
      <c r="AY38" s="173"/>
      <c r="AZ38" s="173"/>
      <c r="BA38" s="189"/>
      <c r="BB38" s="190"/>
      <c r="BC38" s="25"/>
      <c r="BD38" s="191"/>
      <c r="BF38" s="205"/>
      <c r="BG38" s="173"/>
    </row>
    <row r="39" spans="6:61" ht="9.9499999999999993" customHeight="1" x14ac:dyDescent="0.2">
      <c r="F39" s="144"/>
      <c r="G39" s="144"/>
      <c r="H39" s="25"/>
      <c r="I39" s="144"/>
      <c r="L39" s="144"/>
      <c r="M39" s="25"/>
      <c r="N39" s="202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203"/>
      <c r="AC39" s="25"/>
      <c r="AD39" s="133"/>
      <c r="AG39" s="133"/>
      <c r="AH39" s="25"/>
      <c r="AI39" s="133"/>
      <c r="AJ39" s="133"/>
      <c r="AU39" s="172" t="s">
        <v>11</v>
      </c>
      <c r="AY39" s="171">
        <f>SUM(AY34:AY37)</f>
        <v>659.98359746798963</v>
      </c>
      <c r="AZ39" s="173"/>
      <c r="BA39" s="193" t="s">
        <v>28</v>
      </c>
      <c r="BB39" s="190"/>
      <c r="BC39" s="187">
        <f>SUM(BC33:BC37)</f>
        <v>82</v>
      </c>
      <c r="BD39" s="191"/>
      <c r="BF39" s="205"/>
      <c r="BG39" s="171">
        <f>SUM(BG34:BG37)</f>
        <v>661.43</v>
      </c>
    </row>
    <row r="40" spans="6:61" ht="9.9499999999999993" customHeight="1" x14ac:dyDescent="0.2">
      <c r="F40" s="144"/>
      <c r="G40" s="144"/>
      <c r="H40" s="25"/>
      <c r="I40" s="144"/>
      <c r="L40" s="144"/>
      <c r="M40" s="25"/>
      <c r="N40" s="14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133"/>
      <c r="AC40" s="25"/>
      <c r="AD40" s="133"/>
      <c r="AG40" s="133"/>
      <c r="AH40" s="25"/>
      <c r="AI40" s="133"/>
      <c r="AJ40" s="133"/>
      <c r="AU40" s="172" t="s">
        <v>12</v>
      </c>
      <c r="AW40" s="175"/>
      <c r="AX40" s="173"/>
      <c r="AY40" s="173">
        <f>$AX$8*$AX$8*PI()/4</f>
        <v>745.06011372535545</v>
      </c>
      <c r="AZ40" s="167"/>
      <c r="BA40" s="193" t="s">
        <v>29</v>
      </c>
      <c r="BB40" s="168"/>
      <c r="BC40" s="187">
        <f>(BA34*BB34*BC34+BA35*BB35*BC35+BA36*BB36*BC36+BA37*BB37*BC37)*0.000001</f>
        <v>0.56694</v>
      </c>
      <c r="BD40" s="194" t="s">
        <v>31</v>
      </c>
      <c r="BF40" s="205"/>
      <c r="BG40" s="173">
        <f>AY40</f>
        <v>745.06011372535545</v>
      </c>
    </row>
    <row r="41" spans="6:61" ht="9.9499999999999993" customHeight="1" x14ac:dyDescent="0.2">
      <c r="F41" s="144"/>
      <c r="G41" s="144"/>
      <c r="H41" s="25"/>
      <c r="I41" s="144"/>
      <c r="L41" s="144"/>
      <c r="M41" s="25"/>
      <c r="N41" s="14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133"/>
      <c r="AC41" s="25"/>
      <c r="AD41" s="133"/>
      <c r="AG41" s="133"/>
      <c r="AH41" s="25"/>
      <c r="AI41" s="133"/>
      <c r="AJ41" s="133"/>
      <c r="AU41" s="172" t="s">
        <v>15</v>
      </c>
      <c r="AW41" s="175" t="s">
        <v>14</v>
      </c>
      <c r="AY41" s="208">
        <f>AY39/AY40</f>
        <v>0.88581254761850425</v>
      </c>
      <c r="AZ41" s="171" t="s">
        <v>16</v>
      </c>
      <c r="BA41" s="195" t="s">
        <v>30</v>
      </c>
      <c r="BB41" s="142"/>
      <c r="BC41" s="196">
        <f>BC40*$BB$8*$BF$8</f>
        <v>1.5080604</v>
      </c>
      <c r="BD41" s="197" t="s">
        <v>874</v>
      </c>
      <c r="BF41" s="205"/>
      <c r="BG41" s="208">
        <f>BG39/BG40</f>
        <v>0.88775387088271474</v>
      </c>
    </row>
    <row r="42" spans="6:61" ht="9.9499999999999993" customHeight="1" x14ac:dyDescent="0.2">
      <c r="F42" s="144"/>
      <c r="G42" s="144"/>
      <c r="H42" s="25"/>
      <c r="I42" s="144"/>
      <c r="L42" s="144"/>
      <c r="M42" s="25"/>
      <c r="N42" s="14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133"/>
      <c r="AC42" s="25"/>
      <c r="AD42" s="133"/>
      <c r="AG42" s="133"/>
      <c r="AH42" s="25"/>
      <c r="AI42" s="133"/>
      <c r="AJ42" s="133"/>
      <c r="AU42" s="206" t="s">
        <v>22</v>
      </c>
      <c r="AY42" s="207">
        <f>AY41-AY24</f>
        <v>3.4129592819191701E-2</v>
      </c>
      <c r="BG42" s="207">
        <f>BG41-BG24</f>
        <v>4.6271434163375758E-2</v>
      </c>
    </row>
    <row r="43" spans="6:61" ht="9.9499999999999993" customHeight="1" x14ac:dyDescent="0.2">
      <c r="F43" s="144"/>
      <c r="G43" s="144"/>
      <c r="H43" s="25"/>
      <c r="I43" s="144"/>
      <c r="L43" s="144"/>
      <c r="M43" s="25"/>
      <c r="N43" s="14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133"/>
      <c r="AC43" s="25"/>
      <c r="AD43" s="133"/>
      <c r="AG43" s="133"/>
      <c r="AH43" s="25"/>
      <c r="AI43" s="133"/>
      <c r="AJ43" s="133"/>
    </row>
    <row r="44" spans="6:61" ht="9.9499999999999993" customHeight="1" x14ac:dyDescent="0.2">
      <c r="F44" s="144"/>
      <c r="G44" s="144"/>
      <c r="H44" s="25"/>
      <c r="I44" s="144"/>
      <c r="L44" s="144"/>
      <c r="M44" s="25"/>
      <c r="N44" s="144"/>
      <c r="O44" s="25"/>
      <c r="P44" s="25"/>
      <c r="Q44" s="25"/>
      <c r="R44" s="25"/>
      <c r="S44" s="25"/>
      <c r="T44" s="168" t="s">
        <v>4</v>
      </c>
      <c r="U44" s="25"/>
      <c r="V44" s="25"/>
      <c r="W44" s="25"/>
      <c r="X44" s="25"/>
      <c r="Y44" s="25"/>
      <c r="Z44" s="25"/>
      <c r="AA44" s="25"/>
      <c r="AB44" s="133"/>
      <c r="AC44" s="25"/>
      <c r="AD44" s="133"/>
      <c r="AG44" s="133"/>
      <c r="AH44" s="25"/>
      <c r="AI44" s="133"/>
      <c r="AJ44" s="133"/>
    </row>
    <row r="45" spans="6:61" ht="9.9499999999999993" customHeight="1" x14ac:dyDescent="0.2">
      <c r="F45" s="144"/>
      <c r="G45" s="144"/>
      <c r="H45" s="25"/>
      <c r="I45" s="144"/>
      <c r="L45" s="144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133"/>
      <c r="AG45" s="133"/>
      <c r="AH45" s="25"/>
      <c r="AI45" s="133"/>
      <c r="AJ45" s="133"/>
    </row>
    <row r="46" spans="6:61" ht="9.9499999999999993" customHeight="1" x14ac:dyDescent="0.2">
      <c r="F46" s="144"/>
      <c r="G46" s="144"/>
      <c r="H46" s="25"/>
      <c r="I46" s="144"/>
      <c r="L46" s="144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33"/>
      <c r="AG46" s="133"/>
      <c r="AH46" s="25"/>
      <c r="AI46" s="133"/>
      <c r="AJ46" s="133"/>
      <c r="AW46" s="178" t="s">
        <v>17</v>
      </c>
      <c r="AX46" s="177"/>
      <c r="AY46" s="177"/>
      <c r="AZ46" s="177"/>
      <c r="BA46" s="177"/>
    </row>
    <row r="47" spans="6:61" ht="9.9499999999999993" customHeight="1" x14ac:dyDescent="0.2">
      <c r="F47" s="144"/>
      <c r="G47" s="144"/>
      <c r="H47" s="25"/>
      <c r="I47" s="144"/>
      <c r="L47" s="144"/>
      <c r="M47" s="25"/>
      <c r="N47" s="25"/>
      <c r="O47" s="25"/>
      <c r="P47" s="25"/>
      <c r="Q47" s="25"/>
      <c r="R47" s="25"/>
      <c r="S47" s="25"/>
      <c r="T47" s="168" t="s">
        <v>2</v>
      </c>
      <c r="U47" s="25"/>
      <c r="V47" s="25"/>
      <c r="W47" s="25"/>
      <c r="X47" s="25"/>
      <c r="Y47" s="25"/>
      <c r="Z47" s="25"/>
      <c r="AA47" s="25"/>
      <c r="AB47" s="25"/>
      <c r="AC47" s="25"/>
      <c r="AD47" s="133"/>
      <c r="AG47" s="133"/>
      <c r="AH47" s="25"/>
      <c r="AI47" s="133"/>
      <c r="AJ47" s="133"/>
    </row>
    <row r="48" spans="6:61" ht="9.9499999999999993" customHeight="1" x14ac:dyDescent="0.2">
      <c r="F48" s="144"/>
      <c r="G48" s="144"/>
      <c r="H48" s="25"/>
      <c r="I48" s="144"/>
      <c r="AG48" s="133"/>
      <c r="AH48" s="25"/>
      <c r="AI48" s="133"/>
      <c r="AJ48" s="133"/>
      <c r="AU48" s="173"/>
      <c r="AV48" s="173"/>
      <c r="AX48" s="173"/>
      <c r="AY48" s="173"/>
      <c r="AZ48" s="173"/>
      <c r="BA48" s="173"/>
      <c r="BB48" s="173"/>
      <c r="BC48" s="173"/>
      <c r="BF48" s="176" t="s">
        <v>13</v>
      </c>
      <c r="BG48" s="176" t="s">
        <v>13</v>
      </c>
    </row>
    <row r="49" spans="6:62" ht="9.9499999999999993" customHeight="1" x14ac:dyDescent="0.2">
      <c r="F49" s="144"/>
      <c r="G49" s="144"/>
      <c r="H49" s="25"/>
      <c r="I49" s="144"/>
      <c r="AG49" s="133"/>
      <c r="AH49" s="25"/>
      <c r="AI49" s="133"/>
      <c r="AJ49" s="133"/>
      <c r="AU49" s="173"/>
      <c r="AV49" s="173"/>
      <c r="AW49" s="171" t="s">
        <v>44</v>
      </c>
      <c r="AX49" s="176" t="s">
        <v>7</v>
      </c>
      <c r="AY49" s="176"/>
      <c r="BA49" s="173"/>
      <c r="BB49" s="171" t="s">
        <v>40</v>
      </c>
      <c r="BF49" s="176" t="s">
        <v>7</v>
      </c>
      <c r="BG49" s="176" t="s">
        <v>10</v>
      </c>
    </row>
    <row r="50" spans="6:62" ht="9.9499999999999993" customHeight="1" x14ac:dyDescent="0.2">
      <c r="F50" s="144"/>
      <c r="G50" s="144"/>
      <c r="H50" s="25"/>
      <c r="I50" s="144"/>
      <c r="T50" s="167" t="s">
        <v>1</v>
      </c>
      <c r="AG50" s="133"/>
      <c r="AH50" s="25"/>
      <c r="AI50" s="133"/>
      <c r="AJ50" s="133"/>
      <c r="AU50" s="173"/>
      <c r="AV50" s="173"/>
      <c r="AW50" s="176" t="s">
        <v>42</v>
      </c>
      <c r="AX50" s="176" t="s">
        <v>5</v>
      </c>
      <c r="AY50" s="176" t="s">
        <v>10</v>
      </c>
      <c r="BA50" s="183" t="s">
        <v>1205</v>
      </c>
      <c r="BB50" s="184" t="s">
        <v>1206</v>
      </c>
      <c r="BC50" s="185" t="s">
        <v>9</v>
      </c>
      <c r="BD50" s="131"/>
      <c r="BF50" s="176" t="s">
        <v>5</v>
      </c>
      <c r="BI50" s="171"/>
    </row>
    <row r="51" spans="6:62" ht="9.9499999999999993" customHeight="1" x14ac:dyDescent="0.2">
      <c r="F51" s="144"/>
      <c r="G51" s="144"/>
      <c r="H51" s="25"/>
      <c r="AH51" s="25"/>
      <c r="AI51" s="133"/>
      <c r="AJ51" s="133"/>
      <c r="AV51" s="173"/>
      <c r="AW51" s="176" t="s">
        <v>45</v>
      </c>
      <c r="AX51" s="176" t="s">
        <v>904</v>
      </c>
      <c r="AY51" s="176" t="s">
        <v>1063</v>
      </c>
      <c r="BA51" s="186" t="s">
        <v>904</v>
      </c>
      <c r="BB51" s="187" t="s">
        <v>904</v>
      </c>
      <c r="BC51" s="188" t="s">
        <v>8</v>
      </c>
      <c r="BD51" s="133"/>
      <c r="BF51" s="176" t="s">
        <v>904</v>
      </c>
      <c r="BG51" s="176" t="s">
        <v>1063</v>
      </c>
      <c r="BI51" s="171"/>
    </row>
    <row r="52" spans="6:62" ht="9.9499999999999993" customHeight="1" x14ac:dyDescent="0.2">
      <c r="F52" s="144"/>
      <c r="G52" s="144"/>
      <c r="H52" s="25"/>
      <c r="AH52" s="25"/>
      <c r="AI52" s="133"/>
      <c r="AJ52" s="133"/>
      <c r="AV52" s="173"/>
      <c r="AW52" s="173"/>
      <c r="AX52" s="173"/>
      <c r="AY52" s="173"/>
      <c r="AZ52" s="173"/>
      <c r="BA52" s="189"/>
      <c r="BB52" s="190"/>
      <c r="BC52" s="25"/>
      <c r="BD52" s="191"/>
      <c r="BF52" s="205"/>
      <c r="BG52" s="173"/>
    </row>
    <row r="53" spans="6:62" ht="9.9499999999999993" customHeight="1" x14ac:dyDescent="0.2">
      <c r="F53" s="144"/>
      <c r="G53" s="144"/>
      <c r="H53" s="25"/>
      <c r="T53" s="167" t="s">
        <v>3</v>
      </c>
      <c r="AH53" s="25"/>
      <c r="AI53" s="133"/>
      <c r="AJ53" s="133"/>
      <c r="AU53" s="172" t="s">
        <v>43</v>
      </c>
      <c r="AV53" s="173"/>
      <c r="AW53" s="171">
        <v>0.94947753788958622</v>
      </c>
      <c r="AX53" s="173">
        <f>SQRT(1-AW53*AW53)*$AX$8</f>
        <v>9.6661178929347997</v>
      </c>
      <c r="AY53" s="173">
        <f>AX53*BA53</f>
        <v>282.25064247369619</v>
      </c>
      <c r="AZ53" s="173"/>
      <c r="BA53" s="204">
        <f>INT(10*$AX$8*AW53+0.5)*0.1</f>
        <v>29.200000000000003</v>
      </c>
      <c r="BB53" s="190">
        <f>$BB$9</f>
        <v>300</v>
      </c>
      <c r="BC53" s="192">
        <f>INT(AX53/$BB$8+0.5)</f>
        <v>28</v>
      </c>
      <c r="BD53" s="191"/>
      <c r="BF53" s="205">
        <f>$BB$8*BC53</f>
        <v>9.7999999999999989</v>
      </c>
      <c r="BG53" s="173">
        <f>BA53*BF53</f>
        <v>286.16000000000003</v>
      </c>
    </row>
    <row r="54" spans="6:62" ht="9.9499999999999993" customHeight="1" x14ac:dyDescent="0.2">
      <c r="F54" s="144"/>
      <c r="G54" s="25"/>
      <c r="AJ54" s="133"/>
      <c r="AU54" s="172" t="s">
        <v>43</v>
      </c>
      <c r="AV54" s="173"/>
      <c r="AW54" s="171">
        <v>0.84574521498220245</v>
      </c>
      <c r="AX54" s="173">
        <f>SQRT(1-AW54*AW54)*$AX$8-AX53</f>
        <v>6.7683601129331521</v>
      </c>
      <c r="AY54" s="173">
        <f>AX54*BA54</f>
        <v>175.97736293626195</v>
      </c>
      <c r="AZ54" s="173"/>
      <c r="BA54" s="204">
        <f>INT(10*$AX$8*AW54+0.5)*0.1</f>
        <v>26</v>
      </c>
      <c r="BB54" s="190">
        <f>$BB$9</f>
        <v>300</v>
      </c>
      <c r="BC54" s="192">
        <f>2*INT(AX54/$BB$8/2+0.5)</f>
        <v>20</v>
      </c>
      <c r="BD54" s="191"/>
      <c r="BF54" s="205">
        <f>$BB$8*BC54</f>
        <v>7</v>
      </c>
      <c r="BG54" s="173">
        <f>BA54*BF54</f>
        <v>182</v>
      </c>
    </row>
    <row r="55" spans="6:62" ht="9.9499999999999993" customHeight="1" x14ac:dyDescent="0.2">
      <c r="F55" s="144"/>
      <c r="G55" s="25"/>
      <c r="AJ55" s="133"/>
      <c r="AU55" s="172" t="s">
        <v>43</v>
      </c>
      <c r="AV55" s="173"/>
      <c r="AW55" s="171">
        <v>0.70710377197059859</v>
      </c>
      <c r="AX55" s="173">
        <f>SQRT(1-AW55*AW55)*$AX$8-AX54-AX53</f>
        <v>5.3445035381345107</v>
      </c>
      <c r="AY55" s="173">
        <f>AX55*BA55</f>
        <v>116.51017713133234</v>
      </c>
      <c r="AZ55" s="173"/>
      <c r="BA55" s="204">
        <f>INT(10*$AX$8*AW55+0.5)*0.1</f>
        <v>21.8</v>
      </c>
      <c r="BB55" s="190">
        <f>$BB$9</f>
        <v>300</v>
      </c>
      <c r="BC55" s="192">
        <f>2*INT(AX55/$BB$8/2+0.5)</f>
        <v>16</v>
      </c>
      <c r="BD55" s="191"/>
      <c r="BF55" s="205">
        <f>$BB$8*BC55</f>
        <v>5.6</v>
      </c>
      <c r="BG55" s="173">
        <f>BA55*BF55</f>
        <v>122.08</v>
      </c>
      <c r="BI55" s="171"/>
    </row>
    <row r="56" spans="6:62" ht="9.9499999999999993" customHeight="1" x14ac:dyDescent="0.2">
      <c r="F56" s="144"/>
      <c r="G56" s="25"/>
      <c r="U56" s="167" t="s">
        <v>861</v>
      </c>
      <c r="AJ56" s="133"/>
      <c r="AU56" s="172" t="s">
        <v>43</v>
      </c>
      <c r="AV56" s="173"/>
      <c r="AW56" s="171">
        <v>0.53357925799260264</v>
      </c>
      <c r="AX56" s="173">
        <f>SQRT(1-AW56*AW56)*$AX$8-AX55-AX54-AX53</f>
        <v>4.2701205124881199</v>
      </c>
      <c r="AY56" s="173">
        <f>AX56*BA56</f>
        <v>70.029976404805168</v>
      </c>
      <c r="AZ56" s="173"/>
      <c r="BA56" s="204">
        <f>INT(10*$AX$8*AW56+0.5)*0.1</f>
        <v>16.400000000000002</v>
      </c>
      <c r="BB56" s="190">
        <f>$BB$9</f>
        <v>300</v>
      </c>
      <c r="BC56" s="192">
        <f>2*INT(AX56/$BB$8/2+0.5)</f>
        <v>12</v>
      </c>
      <c r="BD56" s="191"/>
      <c r="BF56" s="205">
        <f>$BB$8*BC56</f>
        <v>4.1999999999999993</v>
      </c>
      <c r="BG56" s="173">
        <f>BA56*BF56</f>
        <v>68.88</v>
      </c>
      <c r="BI56" s="171"/>
    </row>
    <row r="57" spans="6:62" ht="9.9499999999999993" customHeight="1" x14ac:dyDescent="0.2">
      <c r="AU57" s="172" t="s">
        <v>43</v>
      </c>
      <c r="AV57" s="173"/>
      <c r="AW57" s="171">
        <v>0.31382963704405048</v>
      </c>
      <c r="AX57" s="173">
        <f>SQRT(1-AW57*AW57)*$AX$8-AX53-AX56-AX55-AX54</f>
        <v>3.1948606719605337</v>
      </c>
      <c r="AY57" s="173">
        <f>AX57*BA57</f>
        <v>30.990148518017179</v>
      </c>
      <c r="AZ57" s="173"/>
      <c r="BA57" s="204">
        <f>INT(10*$AX$8*AW57+0.5)*0.1</f>
        <v>9.7000000000000011</v>
      </c>
      <c r="BB57" s="190">
        <f>$BB$9</f>
        <v>300</v>
      </c>
      <c r="BC57" s="192">
        <f>2*INT(AX57/$BB$8/2+0.5)</f>
        <v>10</v>
      </c>
      <c r="BD57" s="191"/>
      <c r="BF57" s="205">
        <f>$BB$8*BC57</f>
        <v>3.5</v>
      </c>
      <c r="BG57" s="173">
        <f>BA57*BF57</f>
        <v>33.950000000000003</v>
      </c>
      <c r="BI57" s="171"/>
    </row>
    <row r="58" spans="6:62" ht="9.9499999999999993" customHeight="1" x14ac:dyDescent="0.2">
      <c r="AU58" s="173"/>
      <c r="AV58" s="173"/>
      <c r="AW58" s="173"/>
      <c r="AX58" s="173"/>
      <c r="AY58" s="173"/>
      <c r="AZ58" s="173"/>
      <c r="BA58" s="189"/>
      <c r="BB58" s="190"/>
      <c r="BC58" s="25"/>
      <c r="BD58" s="191"/>
      <c r="BF58" s="205"/>
      <c r="BG58" s="173"/>
      <c r="BI58" s="171"/>
    </row>
    <row r="59" spans="6:62" ht="9.9499999999999993" customHeight="1" x14ac:dyDescent="0.2">
      <c r="AU59" s="172" t="s">
        <v>11</v>
      </c>
      <c r="AY59" s="171">
        <f>SUM(AY53:AY57)</f>
        <v>675.75830746411293</v>
      </c>
      <c r="AZ59" s="173"/>
      <c r="BA59" s="193" t="s">
        <v>28</v>
      </c>
      <c r="BB59" s="25"/>
      <c r="BC59" s="187">
        <f>SUM(BC53:BC57)</f>
        <v>86</v>
      </c>
      <c r="BD59" s="191"/>
      <c r="BF59" s="205"/>
      <c r="BG59" s="171">
        <f>SUM(BG53:BG57)</f>
        <v>693.07</v>
      </c>
      <c r="BI59" s="171" t="s">
        <v>771</v>
      </c>
    </row>
    <row r="60" spans="6:62" ht="9.9499999999999993" customHeight="1" x14ac:dyDescent="0.2">
      <c r="AU60" s="172" t="s">
        <v>12</v>
      </c>
      <c r="AV60" s="167"/>
      <c r="AW60" s="173"/>
      <c r="AX60" s="173"/>
      <c r="AY60" s="173">
        <f>$AX$8*$AX$8*PI()/4</f>
        <v>745.06011372535545</v>
      </c>
      <c r="AZ60" s="167"/>
      <c r="BA60" s="193" t="s">
        <v>29</v>
      </c>
      <c r="BB60" s="25"/>
      <c r="BC60" s="187">
        <f>(BA54*BB54*BC54+BA55*BB55*BC55+BA56*BB56*BC56+BA57*BB57*BC57+BA53*BB53*BC53)*0.000001</f>
        <v>0.59405999999999992</v>
      </c>
      <c r="BD60" s="194" t="s">
        <v>31</v>
      </c>
      <c r="BF60" s="205"/>
      <c r="BG60" s="173">
        <f>AY60</f>
        <v>745.06011372535545</v>
      </c>
      <c r="BI60" s="171" t="s">
        <v>772</v>
      </c>
    </row>
    <row r="61" spans="6:62" ht="9.9499999999999993" customHeight="1" x14ac:dyDescent="0.2">
      <c r="AU61" s="172" t="s">
        <v>15</v>
      </c>
      <c r="AW61" s="175" t="s">
        <v>14</v>
      </c>
      <c r="AY61" s="208">
        <f>AY59/AY60</f>
        <v>0.90698494660420304</v>
      </c>
      <c r="AZ61" s="171" t="s">
        <v>16</v>
      </c>
      <c r="BA61" s="195" t="s">
        <v>30</v>
      </c>
      <c r="BB61" s="142"/>
      <c r="BC61" s="196">
        <f>BC60*$BB$8*$BF$8</f>
        <v>1.5801995999999996</v>
      </c>
      <c r="BD61" s="197" t="s">
        <v>874</v>
      </c>
      <c r="BF61" s="205"/>
      <c r="BG61" s="208">
        <f>BG59/BG60</f>
        <v>0.93022024294737637</v>
      </c>
      <c r="BI61" s="171">
        <v>1.49</v>
      </c>
      <c r="BJ61" s="171" t="s">
        <v>874</v>
      </c>
    </row>
    <row r="62" spans="6:62" ht="9.9499999999999993" customHeight="1" x14ac:dyDescent="0.2">
      <c r="AU62" s="206" t="s">
        <v>19</v>
      </c>
      <c r="AY62" s="207">
        <f>AY61-AY41</f>
        <v>2.1172398985698782E-2</v>
      </c>
      <c r="BG62" s="207">
        <f>BG61-BG41</f>
        <v>4.2466372064661639E-2</v>
      </c>
    </row>
    <row r="66" spans="47:61" ht="9.9499999999999993" customHeight="1" x14ac:dyDescent="0.2">
      <c r="AW66" s="178" t="s">
        <v>41</v>
      </c>
      <c r="AX66" s="177"/>
      <c r="AY66" s="177"/>
      <c r="AZ66" s="177"/>
      <c r="BA66" s="177"/>
    </row>
    <row r="68" spans="47:61" ht="9.9499999999999993" customHeight="1" x14ac:dyDescent="0.2">
      <c r="AU68" s="173"/>
      <c r="AV68" s="173"/>
      <c r="AX68" s="173"/>
      <c r="AY68" s="173"/>
      <c r="AZ68" s="173"/>
      <c r="BA68" s="173"/>
      <c r="BB68" s="173"/>
      <c r="BC68" s="173"/>
      <c r="BF68" s="176" t="s">
        <v>13</v>
      </c>
      <c r="BG68" s="176" t="s">
        <v>13</v>
      </c>
      <c r="BI68" s="176" t="s">
        <v>47</v>
      </c>
    </row>
    <row r="69" spans="47:61" ht="9.9499999999999993" customHeight="1" x14ac:dyDescent="0.2">
      <c r="AU69" s="173"/>
      <c r="AV69" s="173"/>
      <c r="AW69" s="171" t="s">
        <v>44</v>
      </c>
      <c r="AX69" s="176" t="s">
        <v>7</v>
      </c>
      <c r="BA69" s="173"/>
      <c r="BB69" s="171" t="s">
        <v>40</v>
      </c>
      <c r="BF69" s="176" t="s">
        <v>7</v>
      </c>
      <c r="BG69" s="176" t="s">
        <v>10</v>
      </c>
      <c r="BI69" s="176" t="s">
        <v>48</v>
      </c>
    </row>
    <row r="70" spans="47:61" ht="9.9499999999999993" customHeight="1" x14ac:dyDescent="0.2">
      <c r="AU70" s="173"/>
      <c r="AV70" s="173"/>
      <c r="AW70" s="176" t="s">
        <v>42</v>
      </c>
      <c r="AX70" s="176" t="s">
        <v>5</v>
      </c>
      <c r="AY70" s="176" t="s">
        <v>10</v>
      </c>
      <c r="BA70" s="183" t="s">
        <v>1205</v>
      </c>
      <c r="BB70" s="184" t="s">
        <v>1206</v>
      </c>
      <c r="BC70" s="185" t="s">
        <v>9</v>
      </c>
      <c r="BD70" s="131"/>
      <c r="BF70" s="176" t="s">
        <v>5</v>
      </c>
      <c r="BI70" s="176" t="s">
        <v>26</v>
      </c>
    </row>
    <row r="71" spans="47:61" ht="9.9499999999999993" customHeight="1" x14ac:dyDescent="0.2">
      <c r="AV71" s="173"/>
      <c r="AW71" s="176" t="s">
        <v>45</v>
      </c>
      <c r="AX71" s="176" t="s">
        <v>904</v>
      </c>
      <c r="AY71" s="176" t="s">
        <v>1063</v>
      </c>
      <c r="BA71" s="186" t="s">
        <v>904</v>
      </c>
      <c r="BB71" s="187" t="s">
        <v>904</v>
      </c>
      <c r="BC71" s="188" t="s">
        <v>8</v>
      </c>
      <c r="BD71" s="133"/>
      <c r="BF71" s="176" t="s">
        <v>904</v>
      </c>
      <c r="BG71" s="176" t="s">
        <v>1063</v>
      </c>
    </row>
    <row r="72" spans="47:61" ht="9.9499999999999993" customHeight="1" x14ac:dyDescent="0.2">
      <c r="AV72" s="173"/>
      <c r="AW72" s="173"/>
      <c r="AX72" s="173"/>
      <c r="AY72" s="173"/>
      <c r="AZ72" s="173"/>
      <c r="BA72" s="189"/>
      <c r="BB72" s="190"/>
      <c r="BC72" s="25"/>
      <c r="BD72" s="191"/>
      <c r="BF72" s="205"/>
      <c r="BG72" s="173"/>
    </row>
    <row r="73" spans="47:61" ht="9.9499999999999993" customHeight="1" x14ac:dyDescent="0.2">
      <c r="AU73" s="172" t="s">
        <v>43</v>
      </c>
      <c r="AV73" s="173"/>
      <c r="AW73" s="171">
        <v>0.94947753788958622</v>
      </c>
      <c r="AX73" s="173">
        <f>SQRT(1-AW73*AW73)*$AX$8</f>
        <v>9.6661178929347997</v>
      </c>
      <c r="AY73" s="173">
        <f t="shared" ref="AY73:AY78" si="0">AX73*BA73</f>
        <v>282.25064247369619</v>
      </c>
      <c r="AZ73" s="173"/>
      <c r="BA73" s="204">
        <f t="shared" ref="BA73:BA78" si="1">INT(10*$AX$8*AW73+0.5)*0.1</f>
        <v>29.200000000000003</v>
      </c>
      <c r="BB73" s="190">
        <f t="shared" ref="BB73:BB78" si="2">$BB$9</f>
        <v>300</v>
      </c>
      <c r="BC73" s="192">
        <f>INT(AX73/$BB$8+0.5)</f>
        <v>28</v>
      </c>
      <c r="BD73" s="191"/>
      <c r="BF73" s="205">
        <f t="shared" ref="BF73:BF78" si="3">$BB$8*BC73</f>
        <v>9.7999999999999989</v>
      </c>
      <c r="BG73" s="173">
        <f t="shared" ref="BG73:BG78" si="4">BA73*BF73</f>
        <v>286.16000000000003</v>
      </c>
      <c r="BI73" s="171">
        <v>0.95899999999999996</v>
      </c>
    </row>
    <row r="74" spans="47:61" ht="9.9499999999999993" customHeight="1" x14ac:dyDescent="0.2">
      <c r="AU74" s="172" t="s">
        <v>43</v>
      </c>
      <c r="AV74" s="173"/>
      <c r="AW74" s="171">
        <v>0.84574521498220245</v>
      </c>
      <c r="AX74" s="173">
        <f>SQRT(1-AW74*AW74)*$AX$8-AX73</f>
        <v>6.7683601129331521</v>
      </c>
      <c r="AY74" s="173">
        <f t="shared" si="0"/>
        <v>175.97736293626195</v>
      </c>
      <c r="AZ74" s="173"/>
      <c r="BA74" s="204">
        <f t="shared" si="1"/>
        <v>26</v>
      </c>
      <c r="BB74" s="190">
        <f t="shared" si="2"/>
        <v>300</v>
      </c>
      <c r="BC74" s="192">
        <f>2*INT(AX74/$BB$8/2+0.5)</f>
        <v>20</v>
      </c>
      <c r="BD74" s="191"/>
      <c r="BF74" s="205">
        <f t="shared" si="3"/>
        <v>7</v>
      </c>
      <c r="BG74" s="173">
        <f t="shared" si="4"/>
        <v>182</v>
      </c>
      <c r="BI74" s="171">
        <v>0.85799999999999998</v>
      </c>
    </row>
    <row r="75" spans="47:61" ht="9.9499999999999993" customHeight="1" x14ac:dyDescent="0.2">
      <c r="AU75" s="172" t="s">
        <v>43</v>
      </c>
      <c r="AV75" s="173"/>
      <c r="AW75" s="171">
        <v>0.70710377197059859</v>
      </c>
      <c r="AX75" s="173">
        <f>SQRT(1-AW75*AW75)*$AX$8-AX74-AX73</f>
        <v>5.3445035381345107</v>
      </c>
      <c r="AY75" s="173">
        <f t="shared" si="0"/>
        <v>116.51017713133234</v>
      </c>
      <c r="AZ75" s="173"/>
      <c r="BA75" s="204">
        <f t="shared" si="1"/>
        <v>21.8</v>
      </c>
      <c r="BB75" s="190">
        <f t="shared" si="2"/>
        <v>300</v>
      </c>
      <c r="BC75" s="192">
        <f>2*INT(AX75/$BB$8/2+0.5)</f>
        <v>16</v>
      </c>
      <c r="BD75" s="191"/>
      <c r="BF75" s="205">
        <f t="shared" si="3"/>
        <v>5.6</v>
      </c>
      <c r="BG75" s="173">
        <f t="shared" si="4"/>
        <v>122.08</v>
      </c>
      <c r="BI75" s="171">
        <v>0.69855595778017754</v>
      </c>
    </row>
    <row r="76" spans="47:61" ht="9.9499999999999993" customHeight="1" x14ac:dyDescent="0.2">
      <c r="AU76" s="172" t="s">
        <v>43</v>
      </c>
      <c r="AV76" s="173"/>
      <c r="AW76" s="171">
        <v>0.53357925799260264</v>
      </c>
      <c r="AX76" s="173">
        <f>SQRT(1-AW76*AW76)*$AX$8-AX75-AX74-AX73</f>
        <v>4.2701205124881199</v>
      </c>
      <c r="AY76" s="173">
        <f t="shared" si="0"/>
        <v>70.029976404805168</v>
      </c>
      <c r="AZ76" s="173"/>
      <c r="BA76" s="204">
        <f t="shared" si="1"/>
        <v>16.400000000000002</v>
      </c>
      <c r="BB76" s="190">
        <f t="shared" si="2"/>
        <v>300</v>
      </c>
      <c r="BC76" s="192">
        <f>2*INT(AX76/$BB$8/2+0.5)</f>
        <v>12</v>
      </c>
      <c r="BD76" s="191"/>
      <c r="BF76" s="205">
        <f t="shared" si="3"/>
        <v>4.1999999999999993</v>
      </c>
      <c r="BG76" s="173">
        <f t="shared" si="4"/>
        <v>68.88</v>
      </c>
      <c r="BI76" s="171">
        <v>0.5</v>
      </c>
    </row>
    <row r="77" spans="47:61" ht="9.9499999999999993" customHeight="1" x14ac:dyDescent="0.2">
      <c r="AU77" s="172" t="s">
        <v>43</v>
      </c>
      <c r="AV77" s="173"/>
      <c r="AW77" s="171">
        <v>0.31382963704405048</v>
      </c>
      <c r="AX77" s="173">
        <f>SQRT(1-AW77*AW77)*$AX$8-AX73-AX74-AX75-AX76</f>
        <v>3.1948606719605337</v>
      </c>
      <c r="AY77" s="173">
        <f t="shared" si="0"/>
        <v>30.990148518017179</v>
      </c>
      <c r="AZ77" s="173"/>
      <c r="BA77" s="204">
        <f t="shared" si="1"/>
        <v>9.7000000000000011</v>
      </c>
      <c r="BB77" s="190">
        <f t="shared" si="2"/>
        <v>300</v>
      </c>
      <c r="BC77" s="192">
        <f>2*INT(AX77/$BB$8/2+0.5)</f>
        <v>10</v>
      </c>
      <c r="BD77" s="191"/>
      <c r="BF77" s="205">
        <f t="shared" si="3"/>
        <v>3.5</v>
      </c>
      <c r="BG77" s="173">
        <f t="shared" si="4"/>
        <v>33.950000000000003</v>
      </c>
      <c r="BI77" s="171">
        <v>0.3</v>
      </c>
    </row>
    <row r="78" spans="47:61" ht="9.9499999999999993" customHeight="1" x14ac:dyDescent="0.2">
      <c r="AU78" s="172" t="s">
        <v>43</v>
      </c>
      <c r="AV78" s="173"/>
      <c r="AW78" s="171">
        <v>0.2</v>
      </c>
      <c r="AX78" s="173">
        <f>SQRT(1-AW78*AW78)*$AX$8-AX73-AX74-AX75-AX76-AX77</f>
        <v>0.93375090263763738</v>
      </c>
      <c r="AY78" s="173">
        <f t="shared" si="0"/>
        <v>5.7892555963533523</v>
      </c>
      <c r="AZ78" s="173"/>
      <c r="BA78" s="204">
        <f t="shared" si="1"/>
        <v>6.2</v>
      </c>
      <c r="BB78" s="190">
        <f t="shared" si="2"/>
        <v>300</v>
      </c>
      <c r="BC78" s="192">
        <f>2*INT(AX78/$BB$8/2+0.5)</f>
        <v>2</v>
      </c>
      <c r="BD78" s="191"/>
      <c r="BF78" s="205">
        <f t="shared" si="3"/>
        <v>0.7</v>
      </c>
      <c r="BG78" s="173">
        <f t="shared" si="4"/>
        <v>4.34</v>
      </c>
      <c r="BI78" s="171">
        <v>0.2</v>
      </c>
    </row>
    <row r="79" spans="47:61" ht="9.9499999999999993" customHeight="1" x14ac:dyDescent="0.2">
      <c r="AU79" s="173"/>
      <c r="AV79" s="173"/>
      <c r="AW79" s="173"/>
      <c r="AX79" s="173"/>
      <c r="AY79" s="173"/>
      <c r="AZ79" s="173"/>
      <c r="BA79" s="189"/>
      <c r="BB79" s="190"/>
      <c r="BC79" s="25"/>
      <c r="BD79" s="191"/>
      <c r="BF79" s="205"/>
      <c r="BG79" s="173"/>
    </row>
    <row r="80" spans="47:61" ht="9.9499999999999993" customHeight="1" x14ac:dyDescent="0.2">
      <c r="AU80" s="172" t="s">
        <v>11</v>
      </c>
      <c r="AY80" s="171">
        <f>SUM(AY73:AY78)</f>
        <v>681.54756306046625</v>
      </c>
      <c r="AZ80" s="173"/>
      <c r="BA80" s="193" t="s">
        <v>28</v>
      </c>
      <c r="BB80" s="25"/>
      <c r="BC80" s="192">
        <f>SUM(BC73:BC78)</f>
        <v>88</v>
      </c>
      <c r="BD80" s="191"/>
      <c r="BF80" s="205"/>
      <c r="BG80" s="171">
        <f>SUM(BG73:BG78)</f>
        <v>697.41000000000008</v>
      </c>
    </row>
    <row r="81" spans="47:59" ht="9.9499999999999993" customHeight="1" x14ac:dyDescent="0.2">
      <c r="AU81" s="172" t="s">
        <v>12</v>
      </c>
      <c r="AV81" s="167"/>
      <c r="AW81" s="173"/>
      <c r="AX81" s="173"/>
      <c r="AY81" s="173">
        <f>$AX$8*$AX$8*PI()/4</f>
        <v>745.06011372535545</v>
      </c>
      <c r="AZ81" s="167"/>
      <c r="BA81" s="193" t="s">
        <v>29</v>
      </c>
      <c r="BB81" s="25"/>
      <c r="BC81" s="187">
        <f>(BA74*BB74*BC74+BA75*BB75*BC75+BA76*BB76*BC76+BA77*BB77*BC77+BA73*BB73*BC73+BA78*BB78*BC78)*0.000001</f>
        <v>0.59777999999999998</v>
      </c>
      <c r="BD81" s="194" t="s">
        <v>31</v>
      </c>
      <c r="BF81" s="205"/>
      <c r="BG81" s="173">
        <f>AY81</f>
        <v>745.06011372535545</v>
      </c>
    </row>
    <row r="82" spans="47:59" ht="9.9499999999999993" customHeight="1" x14ac:dyDescent="0.2">
      <c r="AU82" s="172" t="s">
        <v>15</v>
      </c>
      <c r="AW82" s="175" t="s">
        <v>14</v>
      </c>
      <c r="AY82" s="208">
        <f>AY80/AY81</f>
        <v>0.91475513251229923</v>
      </c>
      <c r="AZ82" s="171" t="s">
        <v>16</v>
      </c>
      <c r="BA82" s="195" t="s">
        <v>30</v>
      </c>
      <c r="BB82" s="142"/>
      <c r="BC82" s="196">
        <f>BC81*$BB$8*$BF$8</f>
        <v>1.5900947999999999</v>
      </c>
      <c r="BD82" s="197" t="s">
        <v>874</v>
      </c>
      <c r="BF82" s="205"/>
      <c r="BG82" s="208">
        <f>BG80/BG81</f>
        <v>0.93604527628367962</v>
      </c>
    </row>
    <row r="83" spans="47:59" ht="9.9499999999999993" customHeight="1" x14ac:dyDescent="0.2">
      <c r="AU83" s="206" t="s">
        <v>46</v>
      </c>
      <c r="AY83" s="207">
        <f>AY82-AY61</f>
        <v>7.7701859080961944E-3</v>
      </c>
      <c r="BG83" s="207">
        <f>BG82-BG61</f>
        <v>5.8250333363032425E-3</v>
      </c>
    </row>
  </sheetData>
  <phoneticPr fontId="0" type="noConversion"/>
  <pageMargins left="0.78740157499999996" right="0.78740157499999996" top="0.69" bottom="0.63" header="0.5" footer="0.4"/>
  <pageSetup paperSize="9" scale="88" orientation="landscape" verticalDpi="0" r:id="rId1"/>
  <headerFooter alignWithMargins="0">
    <oddFooter>&amp;L&amp;F&amp;R22.10.2004 / K.Schraner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4"/>
  <sheetViews>
    <sheetView workbookViewId="0"/>
  </sheetViews>
  <sheetFormatPr baseColWidth="10" defaultColWidth="9.140625" defaultRowHeight="12.75" x14ac:dyDescent="0.2"/>
  <sheetData>
    <row r="1" spans="1:14" ht="23.25" x14ac:dyDescent="0.35">
      <c r="A1" s="67" t="s">
        <v>1021</v>
      </c>
      <c r="B1" s="68"/>
      <c r="C1" s="69" t="s">
        <v>1012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23.25" x14ac:dyDescent="0.35">
      <c r="A2" s="70"/>
      <c r="B2" s="18"/>
      <c r="C2" s="7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3.25" x14ac:dyDescent="0.35">
      <c r="A3" s="1" t="s">
        <v>1088</v>
      </c>
    </row>
    <row r="5" spans="1:14" x14ac:dyDescent="0.2">
      <c r="A5" t="s">
        <v>1022</v>
      </c>
      <c r="C5" s="72" t="s">
        <v>1023</v>
      </c>
      <c r="F5" s="33" t="s">
        <v>1024</v>
      </c>
      <c r="G5" s="73" t="s">
        <v>1025</v>
      </c>
    </row>
    <row r="6" spans="1:14" x14ac:dyDescent="0.2">
      <c r="B6" s="33" t="s">
        <v>1026</v>
      </c>
      <c r="C6" s="74" t="s">
        <v>1027</v>
      </c>
      <c r="F6" s="33" t="s">
        <v>1028</v>
      </c>
      <c r="G6" s="75" t="s">
        <v>1123</v>
      </c>
      <c r="H6" s="76"/>
      <c r="I6" s="76"/>
      <c r="J6" s="77"/>
      <c r="K6" s="78"/>
      <c r="L6" s="79"/>
    </row>
    <row r="8" spans="1:14" x14ac:dyDescent="0.2">
      <c r="C8" s="3" t="s">
        <v>1029</v>
      </c>
      <c r="H8" s="80" t="s">
        <v>1030</v>
      </c>
      <c r="I8" s="41"/>
      <c r="L8" s="3" t="s">
        <v>1031</v>
      </c>
    </row>
    <row r="9" spans="1:14" x14ac:dyDescent="0.2">
      <c r="C9" s="33" t="s">
        <v>1032</v>
      </c>
      <c r="D9">
        <v>2.54</v>
      </c>
      <c r="E9" t="s">
        <v>834</v>
      </c>
      <c r="F9" t="s">
        <v>1033</v>
      </c>
      <c r="G9" t="s">
        <v>1034</v>
      </c>
      <c r="H9">
        <v>2.8570000000000002E-2</v>
      </c>
      <c r="I9" t="s">
        <v>1035</v>
      </c>
      <c r="K9" t="s">
        <v>1044</v>
      </c>
      <c r="L9" s="18">
        <v>2.702</v>
      </c>
      <c r="M9" s="41" t="s">
        <v>1037</v>
      </c>
    </row>
    <row r="10" spans="1:14" x14ac:dyDescent="0.2">
      <c r="C10" s="33" t="s">
        <v>1038</v>
      </c>
      <c r="D10">
        <v>0.30480000000000002</v>
      </c>
      <c r="E10" t="s">
        <v>980</v>
      </c>
      <c r="F10" t="s">
        <v>1039</v>
      </c>
      <c r="G10" s="33" t="s">
        <v>1040</v>
      </c>
      <c r="H10" s="18">
        <v>1.7860000000000001E-2</v>
      </c>
      <c r="I10" t="s">
        <v>1035</v>
      </c>
      <c r="K10" t="s">
        <v>1046</v>
      </c>
      <c r="L10" s="18">
        <v>8.93</v>
      </c>
      <c r="M10" s="41" t="s">
        <v>1037</v>
      </c>
    </row>
    <row r="11" spans="1:14" x14ac:dyDescent="0.2">
      <c r="E11" s="33"/>
      <c r="F11" s="41" t="s">
        <v>1042</v>
      </c>
      <c r="G11" t="s">
        <v>1043</v>
      </c>
      <c r="H11" s="18">
        <v>5.5E-2</v>
      </c>
      <c r="I11" t="s">
        <v>1035</v>
      </c>
      <c r="K11" t="s">
        <v>1041</v>
      </c>
      <c r="L11" s="18">
        <v>1.4</v>
      </c>
      <c r="M11" s="41" t="s">
        <v>1037</v>
      </c>
    </row>
    <row r="12" spans="1:14" x14ac:dyDescent="0.2">
      <c r="E12" s="33"/>
      <c r="F12" t="s">
        <v>1045</v>
      </c>
      <c r="G12" s="33">
        <v>7.0000000000000007E-2</v>
      </c>
      <c r="H12" s="18">
        <v>0.09</v>
      </c>
      <c r="I12" t="s">
        <v>1035</v>
      </c>
      <c r="K12" s="81" t="s">
        <v>1036</v>
      </c>
      <c r="L12" s="18">
        <v>1.18</v>
      </c>
      <c r="M12" s="41" t="s">
        <v>1037</v>
      </c>
    </row>
    <row r="13" spans="1:14" x14ac:dyDescent="0.2">
      <c r="E13" s="33"/>
      <c r="F13" t="s">
        <v>1047</v>
      </c>
      <c r="G13" s="33">
        <v>1.7999999999999999E-2</v>
      </c>
      <c r="H13" s="18">
        <v>5.6000000000000001E-2</v>
      </c>
      <c r="I13" t="s">
        <v>1035</v>
      </c>
    </row>
    <row r="14" spans="1:14" ht="15.75" x14ac:dyDescent="0.25">
      <c r="A14" s="83"/>
      <c r="B14" s="18"/>
      <c r="C14" s="84"/>
      <c r="D14" s="18"/>
      <c r="E14" s="85"/>
      <c r="F14" s="86"/>
      <c r="G14" s="18"/>
      <c r="H14" s="18"/>
      <c r="I14" s="18"/>
      <c r="J14" s="18"/>
      <c r="K14" s="18"/>
      <c r="L14" s="18"/>
      <c r="M14" s="18"/>
      <c r="N14" s="18"/>
    </row>
    <row r="15" spans="1:14" ht="15.75" x14ac:dyDescent="0.25">
      <c r="A15" s="82" t="s">
        <v>1048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7" spans="1:14" x14ac:dyDescent="0.2">
      <c r="B17" s="88"/>
      <c r="I17" s="68"/>
      <c r="J17" s="89" t="s">
        <v>1073</v>
      </c>
      <c r="K17" s="68"/>
      <c r="L17" s="68"/>
      <c r="M17" s="68"/>
      <c r="N17" s="68"/>
    </row>
    <row r="18" spans="1:14" x14ac:dyDescent="0.2">
      <c r="C18" s="2" t="s">
        <v>1049</v>
      </c>
      <c r="E18" s="2" t="s">
        <v>1050</v>
      </c>
      <c r="I18" s="68" t="s">
        <v>1051</v>
      </c>
      <c r="J18" s="68"/>
      <c r="K18" s="68" t="s">
        <v>1052</v>
      </c>
      <c r="L18" s="90"/>
      <c r="M18" s="68" t="s">
        <v>1052</v>
      </c>
      <c r="N18" s="68"/>
    </row>
    <row r="19" spans="1:14" x14ac:dyDescent="0.2">
      <c r="I19" s="68"/>
      <c r="J19" s="68"/>
      <c r="K19" s="91" t="s">
        <v>1054</v>
      </c>
      <c r="L19" s="90"/>
      <c r="M19" s="91" t="s">
        <v>1055</v>
      </c>
      <c r="N19" s="68"/>
    </row>
    <row r="20" spans="1:14" x14ac:dyDescent="0.2">
      <c r="A20" s="41" t="s">
        <v>1060</v>
      </c>
      <c r="B20" s="2"/>
      <c r="C20" s="92">
        <v>367</v>
      </c>
      <c r="E20" s="93">
        <f>C20</f>
        <v>367</v>
      </c>
      <c r="I20" s="90" t="s">
        <v>1056</v>
      </c>
      <c r="J20" s="90" t="s">
        <v>1057</v>
      </c>
      <c r="K20" s="94">
        <v>0.18</v>
      </c>
      <c r="L20" s="68" t="s">
        <v>834</v>
      </c>
      <c r="M20" s="94">
        <v>0.2</v>
      </c>
      <c r="N20" s="68" t="s">
        <v>834</v>
      </c>
    </row>
    <row r="21" spans="1:14" x14ac:dyDescent="0.2">
      <c r="A21" s="41" t="s">
        <v>1075</v>
      </c>
      <c r="B21" s="2"/>
      <c r="C21" s="95">
        <v>1</v>
      </c>
      <c r="D21" t="s">
        <v>834</v>
      </c>
      <c r="E21" s="111">
        <f>C21</f>
        <v>1</v>
      </c>
      <c r="I21" s="90" t="s">
        <v>1058</v>
      </c>
      <c r="J21" s="90" t="s">
        <v>1059</v>
      </c>
      <c r="K21" s="97">
        <v>0.27500000000000002</v>
      </c>
      <c r="L21" s="68" t="s">
        <v>834</v>
      </c>
      <c r="M21" s="97">
        <v>0.35</v>
      </c>
      <c r="N21" s="68" t="s">
        <v>834</v>
      </c>
    </row>
    <row r="22" spans="1:14" x14ac:dyDescent="0.2">
      <c r="A22" s="41" t="s">
        <v>1053</v>
      </c>
      <c r="B22" s="2"/>
      <c r="C22" s="98">
        <v>2.9</v>
      </c>
      <c r="D22" t="s">
        <v>834</v>
      </c>
      <c r="E22" s="96">
        <f t="shared" ref="E22:E27" si="0">C22/$D$9</f>
        <v>1.1417322834645669</v>
      </c>
      <c r="F22" t="s">
        <v>835</v>
      </c>
      <c r="G22" s="18"/>
      <c r="I22" s="99" t="s">
        <v>1061</v>
      </c>
      <c r="J22" s="90" t="s">
        <v>1062</v>
      </c>
      <c r="K22" s="100">
        <f>(10*K21)^2*PI()/4</f>
        <v>5.9395736106932029</v>
      </c>
      <c r="L22" s="68" t="s">
        <v>1063</v>
      </c>
      <c r="M22" s="100">
        <f>(10*M21)^2*PI()/4</f>
        <v>9.6211275016187408</v>
      </c>
      <c r="N22" s="68" t="s">
        <v>1063</v>
      </c>
    </row>
    <row r="23" spans="1:14" x14ac:dyDescent="0.2">
      <c r="A23" s="41" t="s">
        <v>1074</v>
      </c>
      <c r="B23" s="2"/>
      <c r="C23" s="101">
        <v>5.6000000000000001E-2</v>
      </c>
      <c r="D23" t="s">
        <v>834</v>
      </c>
      <c r="E23" s="96">
        <f t="shared" si="0"/>
        <v>2.2047244094488189E-2</v>
      </c>
      <c r="F23" t="s">
        <v>835</v>
      </c>
      <c r="I23" s="68"/>
      <c r="J23" s="68"/>
      <c r="K23" s="68"/>
      <c r="L23" s="68"/>
      <c r="M23" s="68"/>
      <c r="N23" s="68"/>
    </row>
    <row r="24" spans="1:14" x14ac:dyDescent="0.2">
      <c r="A24" t="s">
        <v>1082</v>
      </c>
      <c r="C24" s="101">
        <v>0.06</v>
      </c>
      <c r="D24" t="s">
        <v>834</v>
      </c>
      <c r="E24" s="96">
        <f t="shared" si="0"/>
        <v>2.3622047244094488E-2</v>
      </c>
      <c r="F24" t="s">
        <v>835</v>
      </c>
    </row>
    <row r="25" spans="1:14" x14ac:dyDescent="0.2">
      <c r="A25" t="s">
        <v>1083</v>
      </c>
      <c r="C25" s="102">
        <f>PI()*((C22+C21*C24))</f>
        <v>9.2991142546257883</v>
      </c>
      <c r="D25" t="s">
        <v>834</v>
      </c>
      <c r="E25" s="96">
        <f t="shared" si="0"/>
        <v>3.6610686041833813</v>
      </c>
      <c r="F25" t="s">
        <v>835</v>
      </c>
      <c r="I25" s="68"/>
      <c r="J25" s="68"/>
      <c r="K25" s="90"/>
      <c r="L25" s="90"/>
      <c r="M25" s="68"/>
      <c r="N25" s="68"/>
    </row>
    <row r="26" spans="1:14" x14ac:dyDescent="0.2">
      <c r="A26" s="41" t="s">
        <v>1084</v>
      </c>
      <c r="C26" s="102">
        <f>C22+2*C24</f>
        <v>3.02</v>
      </c>
      <c r="D26" t="s">
        <v>834</v>
      </c>
      <c r="E26" s="96">
        <f t="shared" si="0"/>
        <v>1.1889763779527558</v>
      </c>
      <c r="F26" t="s">
        <v>835</v>
      </c>
      <c r="I26" s="68"/>
      <c r="J26" s="68"/>
      <c r="K26" s="90"/>
      <c r="L26" s="90"/>
      <c r="M26" s="68"/>
      <c r="N26" s="68"/>
    </row>
    <row r="27" spans="1:14" x14ac:dyDescent="0.2">
      <c r="A27" t="s">
        <v>1085</v>
      </c>
      <c r="C27" s="103">
        <f>C24*C20/C21</f>
        <v>22.02</v>
      </c>
      <c r="D27" t="s">
        <v>834</v>
      </c>
      <c r="E27" s="96">
        <f t="shared" si="0"/>
        <v>8.6692913385826778</v>
      </c>
      <c r="F27" t="s">
        <v>835</v>
      </c>
      <c r="I27" s="90" t="s">
        <v>1065</v>
      </c>
      <c r="J27" s="90" t="s">
        <v>1066</v>
      </c>
      <c r="K27" s="104">
        <f>L10*0.1*C32*C23*C23*PI()/4</f>
        <v>7.5062848705431104E-2</v>
      </c>
      <c r="L27" s="105" t="s">
        <v>874</v>
      </c>
      <c r="M27" s="90"/>
      <c r="N27" s="68"/>
    </row>
    <row r="28" spans="1:14" x14ac:dyDescent="0.2">
      <c r="I28" s="90" t="s">
        <v>1065</v>
      </c>
      <c r="J28" s="90" t="s">
        <v>1067</v>
      </c>
      <c r="K28" s="106">
        <f>L11*0.1*C32*(C24*C24-C23*C23)*PI()/4</f>
        <v>1.7411795012458003E-3</v>
      </c>
      <c r="L28" s="68" t="s">
        <v>874</v>
      </c>
      <c r="M28" s="68"/>
      <c r="N28" s="68"/>
    </row>
    <row r="29" spans="1:14" x14ac:dyDescent="0.2">
      <c r="I29" s="90" t="s">
        <v>1065</v>
      </c>
      <c r="J29" s="90" t="s">
        <v>1068</v>
      </c>
      <c r="K29" s="19">
        <f>K28+K27</f>
        <v>7.6804028206676908E-2</v>
      </c>
      <c r="L29" s="68" t="s">
        <v>1069</v>
      </c>
      <c r="M29" s="10">
        <f>K29/C32</f>
        <v>2.2504861805843555E-3</v>
      </c>
      <c r="N29" s="68" t="s">
        <v>1070</v>
      </c>
    </row>
    <row r="30" spans="1:14" x14ac:dyDescent="0.2">
      <c r="E30" s="107" t="s">
        <v>1129</v>
      </c>
      <c r="I30" s="68"/>
      <c r="J30" s="68"/>
      <c r="K30" s="68"/>
      <c r="L30" s="68"/>
      <c r="M30" s="68"/>
      <c r="N30" s="68"/>
    </row>
    <row r="31" spans="1:14" x14ac:dyDescent="0.2">
      <c r="I31" s="68"/>
      <c r="J31" s="68"/>
      <c r="K31" s="68"/>
      <c r="L31" s="68"/>
      <c r="M31" s="68"/>
      <c r="N31" s="68"/>
    </row>
    <row r="32" spans="1:14" x14ac:dyDescent="0.2">
      <c r="C32" s="108">
        <f>C20*PI()*(0.01*(C22+C21*C24))</f>
        <v>34.127749314476645</v>
      </c>
      <c r="D32" t="s">
        <v>980</v>
      </c>
      <c r="E32" s="108">
        <f>C32/0.3048</f>
        <v>111.96768147794174</v>
      </c>
      <c r="F32" t="s">
        <v>1064</v>
      </c>
    </row>
    <row r="33" spans="1:14" x14ac:dyDescent="0.2">
      <c r="D33" s="109"/>
      <c r="E33" s="110"/>
      <c r="I33" s="40" t="s">
        <v>951</v>
      </c>
    </row>
    <row r="34" spans="1:14" x14ac:dyDescent="0.2">
      <c r="A34" t="s">
        <v>1130</v>
      </c>
    </row>
    <row r="35" spans="1:14" x14ac:dyDescent="0.2">
      <c r="A35" t="s">
        <v>1071</v>
      </c>
      <c r="I35" t="s">
        <v>953</v>
      </c>
      <c r="M35" s="10">
        <f>E20</f>
        <v>367</v>
      </c>
    </row>
    <row r="36" spans="1:14" x14ac:dyDescent="0.2">
      <c r="I36" s="41" t="s">
        <v>955</v>
      </c>
      <c r="M36" s="10">
        <f>E22+C21*E23</f>
        <v>1.163779527559055</v>
      </c>
    </row>
    <row r="37" spans="1:14" x14ac:dyDescent="0.2">
      <c r="I37" s="41" t="s">
        <v>957</v>
      </c>
      <c r="M37" s="19">
        <f>E27</f>
        <v>8.6692913385826778</v>
      </c>
    </row>
    <row r="38" spans="1:14" x14ac:dyDescent="0.2">
      <c r="I38" t="s">
        <v>959</v>
      </c>
      <c r="M38" s="10">
        <f>C21*E23</f>
        <v>2.2047244094488189E-2</v>
      </c>
    </row>
    <row r="39" spans="1:14" ht="15.75" x14ac:dyDescent="0.3">
      <c r="I39" t="s">
        <v>1131</v>
      </c>
      <c r="M39" s="39">
        <f>(0.2*M36^2*M35^2)/(3*M36+9*M37+10*M38)</f>
        <v>446.36813333547741</v>
      </c>
      <c r="N39" t="s">
        <v>1072</v>
      </c>
    </row>
    <row r="41" spans="1:14" x14ac:dyDescent="0.2">
      <c r="I41" t="s">
        <v>1132</v>
      </c>
      <c r="M41" s="17">
        <v>33.604999999999997</v>
      </c>
    </row>
    <row r="42" spans="1:14" ht="15.75" x14ac:dyDescent="0.3">
      <c r="B42" s="136" t="s">
        <v>1198</v>
      </c>
      <c r="C42" s="137"/>
      <c r="D42" s="137"/>
      <c r="E42" s="366">
        <v>38280</v>
      </c>
      <c r="F42" s="138" t="s">
        <v>1200</v>
      </c>
      <c r="I42" t="s">
        <v>1133</v>
      </c>
      <c r="M42" s="23">
        <f>0.001*M39*M41</f>
        <v>15.000201120738717</v>
      </c>
      <c r="N42" t="s">
        <v>995</v>
      </c>
    </row>
    <row r="43" spans="1:14" ht="15.75" x14ac:dyDescent="0.3">
      <c r="B43" s="146" t="s">
        <v>1197</v>
      </c>
      <c r="C43" s="25">
        <v>3.4</v>
      </c>
      <c r="D43" s="25" t="s">
        <v>1201</v>
      </c>
      <c r="E43" s="25"/>
      <c r="F43" s="235" t="s">
        <v>147</v>
      </c>
      <c r="I43" t="s">
        <v>1121</v>
      </c>
      <c r="M43" s="19">
        <f>C32*H10/(100*C23*C23*PI()/4)</f>
        <v>2.4747034693877552</v>
      </c>
      <c r="N43" t="s">
        <v>965</v>
      </c>
    </row>
    <row r="44" spans="1:14" ht="14.25" x14ac:dyDescent="0.2">
      <c r="B44" s="144" t="s">
        <v>1211</v>
      </c>
      <c r="C44" s="33">
        <v>7.6</v>
      </c>
      <c r="D44" t="s">
        <v>1208</v>
      </c>
      <c r="E44" s="33" t="s">
        <v>1210</v>
      </c>
      <c r="F44" s="133" t="s">
        <v>1209</v>
      </c>
      <c r="I44" t="s">
        <v>966</v>
      </c>
      <c r="M44" s="17">
        <v>4</v>
      </c>
      <c r="N44" t="s">
        <v>1105</v>
      </c>
    </row>
    <row r="45" spans="1:14" x14ac:dyDescent="0.2">
      <c r="B45" s="144"/>
      <c r="C45" s="25"/>
      <c r="D45" s="25"/>
      <c r="E45" s="25"/>
      <c r="F45" s="133"/>
      <c r="I45" t="s">
        <v>968</v>
      </c>
      <c r="M45" s="19">
        <f>(100*C23*C23*PI()/4)*M44</f>
        <v>0.98520345616575922</v>
      </c>
      <c r="N45" t="s">
        <v>895</v>
      </c>
    </row>
    <row r="46" spans="1:14" x14ac:dyDescent="0.2">
      <c r="B46" s="132" t="s">
        <v>1196</v>
      </c>
      <c r="C46" s="21" t="s">
        <v>1204</v>
      </c>
      <c r="D46" s="21" t="s">
        <v>1205</v>
      </c>
      <c r="E46" s="21" t="s">
        <v>1206</v>
      </c>
      <c r="F46" s="139" t="s">
        <v>1207</v>
      </c>
      <c r="I46" t="s">
        <v>1092</v>
      </c>
      <c r="M46" s="39">
        <f>230*M45</f>
        <v>226.59679491812463</v>
      </c>
      <c r="N46" t="s">
        <v>843</v>
      </c>
    </row>
    <row r="47" spans="1:14" x14ac:dyDescent="0.2">
      <c r="B47" s="132" t="s">
        <v>874</v>
      </c>
      <c r="C47" s="21" t="s">
        <v>1202</v>
      </c>
      <c r="D47" s="21" t="s">
        <v>1203</v>
      </c>
      <c r="E47" s="21" t="s">
        <v>1203</v>
      </c>
      <c r="F47" s="139" t="s">
        <v>904</v>
      </c>
      <c r="I47" t="s">
        <v>1091</v>
      </c>
      <c r="M47" s="23">
        <f>M45*M45*M43</f>
        <v>2.4020111585737953</v>
      </c>
      <c r="N47" t="s">
        <v>971</v>
      </c>
    </row>
    <row r="48" spans="1:14" x14ac:dyDescent="0.2">
      <c r="B48" s="132">
        <v>1.5</v>
      </c>
      <c r="C48" s="21">
        <f>B48/C$44</f>
        <v>0.19736842105263158</v>
      </c>
      <c r="D48" s="21">
        <v>2.6</v>
      </c>
      <c r="E48" s="145">
        <v>15.17604332031034</v>
      </c>
      <c r="F48" s="140">
        <f>100*C48/(D48*E48)</f>
        <v>0.50020238854020838</v>
      </c>
    </row>
    <row r="49" spans="2:6" x14ac:dyDescent="0.2">
      <c r="B49" s="132">
        <v>1.5</v>
      </c>
      <c r="C49" s="21">
        <f>B49/C$44</f>
        <v>0.19736842105263158</v>
      </c>
      <c r="D49" s="21">
        <v>2.6</v>
      </c>
      <c r="E49" s="145">
        <v>18.975634982449407</v>
      </c>
      <c r="F49" s="140">
        <f>100*C49/(D49*E49)</f>
        <v>0.40004422115148819</v>
      </c>
    </row>
    <row r="50" spans="2:6" x14ac:dyDescent="0.2">
      <c r="B50" s="132">
        <v>1.5</v>
      </c>
      <c r="C50" s="21">
        <f>B50/C$44</f>
        <v>0.19736842105263158</v>
      </c>
      <c r="D50" s="21">
        <v>2.6</v>
      </c>
      <c r="E50" s="145">
        <v>21.629152060422783</v>
      </c>
      <c r="F50" s="140">
        <f>100*C50/(D50*E50)</f>
        <v>0.35096582132311871</v>
      </c>
    </row>
    <row r="51" spans="2:6" x14ac:dyDescent="0.2">
      <c r="B51" s="132">
        <v>1.5</v>
      </c>
      <c r="C51" s="21">
        <f>B51/C$44</f>
        <v>0.19736842105263158</v>
      </c>
      <c r="D51" s="21">
        <v>2.6</v>
      </c>
      <c r="E51" s="145">
        <v>25.263644036530806</v>
      </c>
      <c r="F51" s="140">
        <f>100*C51/(D51*E51)</f>
        <v>0.30047498715673449</v>
      </c>
    </row>
    <row r="52" spans="2:6" x14ac:dyDescent="0.2">
      <c r="B52" s="132">
        <v>1.5</v>
      </c>
      <c r="C52" s="21">
        <f>B52/C$44</f>
        <v>0.19736842105263158</v>
      </c>
      <c r="D52" s="21">
        <v>2.6</v>
      </c>
      <c r="E52" s="145">
        <v>30.345912005202422</v>
      </c>
      <c r="F52" s="140">
        <f>100*C52/(D52*E52)</f>
        <v>0.25015208361862745</v>
      </c>
    </row>
    <row r="53" spans="2:6" x14ac:dyDescent="0.2">
      <c r="B53" s="144"/>
      <c r="C53" s="25"/>
      <c r="D53" s="25"/>
      <c r="E53" s="25"/>
      <c r="F53" s="133"/>
    </row>
    <row r="54" spans="2:6" x14ac:dyDescent="0.2">
      <c r="B54" s="141" t="s">
        <v>1212</v>
      </c>
      <c r="C54" s="142"/>
      <c r="D54" s="142"/>
      <c r="E54" s="143"/>
      <c r="F54" s="135" t="s">
        <v>1199</v>
      </c>
    </row>
  </sheetData>
  <phoneticPr fontId="0" type="noConversion"/>
  <pageMargins left="0.78740157499999996" right="0.78740157499999996" top="0.984251969" bottom="0.984251969" header="0.5" footer="0.5"/>
  <pageSetup paperSize="9" scale="13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V320"/>
  <sheetViews>
    <sheetView workbookViewId="0">
      <selection activeCell="T27" sqref="T27"/>
    </sheetView>
  </sheetViews>
  <sheetFormatPr baseColWidth="10" defaultColWidth="9.140625" defaultRowHeight="12.75" x14ac:dyDescent="0.2"/>
  <sheetData>
    <row r="1" spans="1:9" ht="23.25" x14ac:dyDescent="0.35">
      <c r="A1" s="1" t="s">
        <v>824</v>
      </c>
    </row>
    <row r="3" spans="1:9" x14ac:dyDescent="0.2">
      <c r="D3" t="s">
        <v>1021</v>
      </c>
      <c r="E3" s="286" t="s">
        <v>404</v>
      </c>
    </row>
    <row r="5" spans="1:9" ht="20.25" x14ac:dyDescent="0.3">
      <c r="E5" s="210" t="s">
        <v>95</v>
      </c>
    </row>
    <row r="7" spans="1:9" x14ac:dyDescent="0.2">
      <c r="A7" s="130"/>
      <c r="B7" s="148"/>
      <c r="C7" s="148"/>
      <c r="D7" s="148"/>
      <c r="E7" s="148"/>
      <c r="F7" s="148"/>
      <c r="G7" s="148"/>
      <c r="H7" s="148"/>
      <c r="I7" s="131"/>
    </row>
    <row r="8" spans="1:9" x14ac:dyDescent="0.2">
      <c r="A8" s="144"/>
      <c r="B8" s="25"/>
      <c r="C8" s="25"/>
      <c r="D8" s="25"/>
      <c r="E8" s="212" t="s">
        <v>59</v>
      </c>
      <c r="F8" s="25"/>
      <c r="G8" s="25"/>
      <c r="H8" s="25"/>
      <c r="I8" s="133"/>
    </row>
    <row r="9" spans="1:9" x14ac:dyDescent="0.2">
      <c r="A9" s="144"/>
      <c r="B9" s="25"/>
      <c r="C9" s="25"/>
      <c r="D9" s="25"/>
      <c r="E9" s="25"/>
      <c r="F9" s="25"/>
      <c r="G9" s="25"/>
      <c r="H9" s="25"/>
      <c r="I9" s="133"/>
    </row>
    <row r="10" spans="1:9" x14ac:dyDescent="0.2">
      <c r="A10" s="211" t="s">
        <v>65</v>
      </c>
      <c r="B10" s="25"/>
      <c r="C10" s="25"/>
      <c r="D10" s="25"/>
      <c r="E10" s="25"/>
      <c r="F10" s="212" t="s">
        <v>57</v>
      </c>
      <c r="G10" s="25"/>
      <c r="H10" s="25"/>
      <c r="I10" s="133"/>
    </row>
    <row r="11" spans="1:9" x14ac:dyDescent="0.2">
      <c r="A11" s="144" t="s">
        <v>52</v>
      </c>
      <c r="B11" s="25"/>
      <c r="C11" s="25"/>
      <c r="D11" s="213">
        <f>E141</f>
        <v>14.883421853682954</v>
      </c>
      <c r="E11" s="25" t="s">
        <v>874</v>
      </c>
      <c r="F11" s="25"/>
      <c r="G11" s="25"/>
      <c r="H11" s="25"/>
      <c r="I11" s="133"/>
    </row>
    <row r="12" spans="1:9" x14ac:dyDescent="0.2">
      <c r="A12" s="144" t="s">
        <v>53</v>
      </c>
      <c r="B12" s="25"/>
      <c r="C12" s="25"/>
      <c r="D12" s="214">
        <f>10*E147</f>
        <v>63.500149293972676</v>
      </c>
      <c r="E12" s="25" t="s">
        <v>904</v>
      </c>
      <c r="F12" s="25"/>
      <c r="G12" s="25"/>
      <c r="H12" s="25"/>
      <c r="I12" s="133"/>
    </row>
    <row r="13" spans="1:9" x14ac:dyDescent="0.2">
      <c r="A13" s="144" t="s">
        <v>54</v>
      </c>
      <c r="B13" s="25"/>
      <c r="C13" s="25"/>
      <c r="D13" s="214">
        <f>10*E148</f>
        <v>635.00149293972675</v>
      </c>
      <c r="E13" s="25" t="s">
        <v>904</v>
      </c>
      <c r="F13" s="25" t="s">
        <v>954</v>
      </c>
      <c r="G13" s="25"/>
      <c r="H13" s="216">
        <f>10*E152</f>
        <v>63.500149293972676</v>
      </c>
      <c r="I13" s="133" t="s">
        <v>904</v>
      </c>
    </row>
    <row r="14" spans="1:9" x14ac:dyDescent="0.2">
      <c r="A14" s="144" t="s">
        <v>56</v>
      </c>
      <c r="B14" s="25"/>
      <c r="C14" s="25"/>
      <c r="D14" s="214">
        <f>10*E158</f>
        <v>571.5013436457541</v>
      </c>
      <c r="E14" s="25" t="s">
        <v>904</v>
      </c>
      <c r="F14" s="25" t="s">
        <v>1125</v>
      </c>
      <c r="G14" s="25"/>
      <c r="H14" s="216">
        <f>10*E153</f>
        <v>63.500149293972676</v>
      </c>
      <c r="I14" s="133" t="s">
        <v>904</v>
      </c>
    </row>
    <row r="15" spans="1:9" ht="14.25" x14ac:dyDescent="0.2">
      <c r="A15" s="144" t="s">
        <v>55</v>
      </c>
      <c r="B15" s="25"/>
      <c r="C15" s="25"/>
      <c r="D15" s="216">
        <f>E149</f>
        <v>31.669366357887835</v>
      </c>
      <c r="E15" s="25" t="s">
        <v>1103</v>
      </c>
      <c r="F15" s="25" t="s">
        <v>1214</v>
      </c>
      <c r="G15" s="25"/>
      <c r="H15" s="215">
        <f>10*E154</f>
        <v>640</v>
      </c>
      <c r="I15" s="133" t="s">
        <v>904</v>
      </c>
    </row>
    <row r="16" spans="1:9" ht="14.25" x14ac:dyDescent="0.2">
      <c r="A16" s="144" t="s">
        <v>96</v>
      </c>
      <c r="B16" s="25"/>
      <c r="C16" s="25"/>
      <c r="D16" s="216">
        <f>E150</f>
        <v>28.502429722099052</v>
      </c>
      <c r="E16" s="25" t="s">
        <v>1103</v>
      </c>
      <c r="F16" s="25" t="s">
        <v>58</v>
      </c>
      <c r="G16" s="25"/>
      <c r="H16" s="215">
        <f>10*E155</f>
        <v>0</v>
      </c>
      <c r="I16" s="133" t="s">
        <v>904</v>
      </c>
    </row>
    <row r="17" spans="1:9" x14ac:dyDescent="0.2">
      <c r="A17" s="141"/>
      <c r="B17" s="142"/>
      <c r="C17" s="142"/>
      <c r="D17" s="142"/>
      <c r="E17" s="142"/>
      <c r="F17" s="142"/>
      <c r="G17" s="142"/>
      <c r="H17" s="142"/>
      <c r="I17" s="135"/>
    </row>
    <row r="18" spans="1:9" x14ac:dyDescent="0.2">
      <c r="A18" s="130"/>
      <c r="B18" s="148"/>
      <c r="C18" s="148"/>
      <c r="D18" s="148"/>
      <c r="E18" s="148"/>
      <c r="F18" s="148"/>
      <c r="G18" s="148"/>
      <c r="H18" s="148"/>
      <c r="I18" s="131"/>
    </row>
    <row r="19" spans="1:9" x14ac:dyDescent="0.2">
      <c r="A19" s="144"/>
      <c r="B19" s="25"/>
      <c r="C19" s="25"/>
      <c r="D19" s="25"/>
      <c r="E19" s="212" t="s">
        <v>1088</v>
      </c>
      <c r="F19" s="25"/>
      <c r="G19" s="25"/>
      <c r="H19" s="25"/>
      <c r="I19" s="133"/>
    </row>
    <row r="20" spans="1:9" x14ac:dyDescent="0.2">
      <c r="A20" s="211" t="s">
        <v>64</v>
      </c>
      <c r="B20" s="25"/>
      <c r="C20" s="25"/>
      <c r="D20" s="25"/>
      <c r="E20" s="25"/>
      <c r="F20" s="25"/>
      <c r="G20" s="25"/>
      <c r="H20" s="25"/>
      <c r="I20" s="133"/>
    </row>
    <row r="21" spans="1:9" x14ac:dyDescent="0.2">
      <c r="A21" s="144" t="s">
        <v>77</v>
      </c>
      <c r="B21" s="25"/>
      <c r="C21" s="25"/>
      <c r="D21" s="217">
        <f>E181</f>
        <v>680.00000000000057</v>
      </c>
      <c r="E21" s="25" t="s">
        <v>913</v>
      </c>
      <c r="F21" s="217">
        <f>E168</f>
        <v>614.75227676620921</v>
      </c>
      <c r="G21" s="25" t="s">
        <v>63</v>
      </c>
      <c r="H21" s="25"/>
      <c r="I21" s="133"/>
    </row>
    <row r="22" spans="1:9" x14ac:dyDescent="0.2">
      <c r="A22" s="144" t="s">
        <v>60</v>
      </c>
      <c r="B22" s="25"/>
      <c r="C22" s="25"/>
      <c r="D22" s="25">
        <f>E172</f>
        <v>2.0266267844392778</v>
      </c>
      <c r="E22" s="25" t="s">
        <v>904</v>
      </c>
      <c r="F22" s="25">
        <f>E171</f>
        <v>2.0266267844392778</v>
      </c>
      <c r="G22" s="25" t="s">
        <v>63</v>
      </c>
      <c r="H22" s="25"/>
      <c r="I22" s="133"/>
    </row>
    <row r="23" spans="1:9" x14ac:dyDescent="0.2">
      <c r="A23" s="144" t="s">
        <v>1227</v>
      </c>
      <c r="B23" s="25"/>
      <c r="C23" s="25"/>
      <c r="D23" s="25">
        <f>E173</f>
        <v>2.3875999999999999</v>
      </c>
      <c r="E23" s="25" t="s">
        <v>904</v>
      </c>
      <c r="F23" s="25"/>
      <c r="G23" s="25"/>
      <c r="H23" s="25"/>
      <c r="I23" s="133"/>
    </row>
    <row r="24" spans="1:9" ht="14.25" x14ac:dyDescent="0.2">
      <c r="A24" s="144" t="s">
        <v>62</v>
      </c>
      <c r="B24" s="25"/>
      <c r="C24" s="25"/>
      <c r="D24" s="218">
        <f>D22*D22*PI()/4</f>
        <v>3.2257999999999991</v>
      </c>
      <c r="E24" s="25" t="s">
        <v>1107</v>
      </c>
      <c r="F24" s="25">
        <f>E170</f>
        <v>3.2258</v>
      </c>
      <c r="G24" s="25" t="s">
        <v>63</v>
      </c>
      <c r="H24" s="25"/>
      <c r="I24" s="133"/>
    </row>
    <row r="25" spans="1:9" x14ac:dyDescent="0.2">
      <c r="A25" s="144" t="s">
        <v>1124</v>
      </c>
      <c r="B25" s="25"/>
      <c r="C25" s="25"/>
      <c r="D25" s="25">
        <f>E179</f>
        <v>3</v>
      </c>
      <c r="E25" t="s">
        <v>975</v>
      </c>
      <c r="F25" s="25"/>
      <c r="G25" s="25"/>
      <c r="H25" s="25"/>
      <c r="I25" s="133"/>
    </row>
    <row r="26" spans="1:9" x14ac:dyDescent="0.2">
      <c r="A26" s="144" t="s">
        <v>66</v>
      </c>
      <c r="B26" s="25"/>
      <c r="C26" s="25"/>
      <c r="D26" s="214">
        <f>10*E180</f>
        <v>543.14465408805086</v>
      </c>
      <c r="E26" s="25" t="s">
        <v>904</v>
      </c>
      <c r="F26" s="212" t="s">
        <v>76</v>
      </c>
      <c r="G26" s="25"/>
      <c r="H26" s="25"/>
      <c r="I26" s="133"/>
    </row>
    <row r="27" spans="1:9" x14ac:dyDescent="0.2">
      <c r="A27" s="144"/>
      <c r="B27" s="25"/>
      <c r="C27" s="25"/>
      <c r="D27" s="25"/>
      <c r="E27" s="25"/>
      <c r="F27" s="25" t="s">
        <v>69</v>
      </c>
      <c r="G27" s="25"/>
      <c r="H27" s="214">
        <f>E197</f>
        <v>82.55014929397268</v>
      </c>
      <c r="I27" s="133" t="s">
        <v>904</v>
      </c>
    </row>
    <row r="28" spans="1:9" x14ac:dyDescent="0.2">
      <c r="A28" s="144" t="s">
        <v>102</v>
      </c>
      <c r="B28" s="25"/>
      <c r="C28" s="25"/>
      <c r="D28" s="25">
        <f>E185</f>
        <v>7.1627999999999998</v>
      </c>
      <c r="E28" s="25" t="s">
        <v>904</v>
      </c>
      <c r="F28" s="25" t="s">
        <v>70</v>
      </c>
      <c r="G28" s="25"/>
      <c r="H28" s="214">
        <f>E198</f>
        <v>95.250149293972683</v>
      </c>
      <c r="I28" s="133" t="s">
        <v>904</v>
      </c>
    </row>
    <row r="29" spans="1:9" x14ac:dyDescent="0.2">
      <c r="A29" s="219" t="s">
        <v>67</v>
      </c>
      <c r="B29" s="25"/>
      <c r="C29" s="25"/>
      <c r="D29" s="25">
        <f>E183</f>
        <v>2.3622000000000001</v>
      </c>
      <c r="E29" s="25" t="s">
        <v>904</v>
      </c>
      <c r="F29" s="25" t="s">
        <v>1214</v>
      </c>
      <c r="G29" s="25"/>
      <c r="H29" s="217">
        <f>E199</f>
        <v>640</v>
      </c>
      <c r="I29" s="133" t="s">
        <v>904</v>
      </c>
    </row>
    <row r="30" spans="1:9" x14ac:dyDescent="0.2">
      <c r="A30" s="144" t="s">
        <v>78</v>
      </c>
      <c r="B30" s="25"/>
      <c r="C30" s="25"/>
      <c r="D30" s="214">
        <f>H14</f>
        <v>63.500149293972676</v>
      </c>
      <c r="E30" s="25" t="s">
        <v>904</v>
      </c>
      <c r="F30" s="25" t="s">
        <v>58</v>
      </c>
      <c r="G30" s="25"/>
      <c r="H30" s="216">
        <f>E200</f>
        <v>6.3500000000000014</v>
      </c>
      <c r="I30" s="133" t="s">
        <v>904</v>
      </c>
    </row>
    <row r="31" spans="1:9" x14ac:dyDescent="0.2">
      <c r="A31" s="144" t="s">
        <v>68</v>
      </c>
      <c r="B31" s="25"/>
      <c r="C31" s="25"/>
      <c r="D31" s="214">
        <f>E186</f>
        <v>82.55014929397268</v>
      </c>
      <c r="E31" s="25" t="s">
        <v>904</v>
      </c>
      <c r="I31" s="133"/>
    </row>
    <row r="32" spans="1:9" x14ac:dyDescent="0.2">
      <c r="A32" s="144"/>
      <c r="B32" s="25"/>
      <c r="C32" s="25"/>
      <c r="D32" s="25"/>
      <c r="E32" s="25"/>
      <c r="I32" s="133"/>
    </row>
    <row r="33" spans="1:10" ht="14.25" x14ac:dyDescent="0.2">
      <c r="A33" s="144" t="s">
        <v>1126</v>
      </c>
      <c r="B33" s="25"/>
      <c r="C33" s="25"/>
      <c r="D33" s="214">
        <f>E190</f>
        <v>229.41527254924242</v>
      </c>
      <c r="E33" s="25" t="s">
        <v>904</v>
      </c>
      <c r="F33" s="25" t="s">
        <v>97</v>
      </c>
      <c r="G33" s="25"/>
      <c r="H33" s="214">
        <f>D26*(D31-D30)</f>
        <v>10346.905660377372</v>
      </c>
      <c r="I33" s="133" t="s">
        <v>1107</v>
      </c>
    </row>
    <row r="34" spans="1:10" ht="14.25" x14ac:dyDescent="0.2">
      <c r="A34" s="144" t="s">
        <v>1127</v>
      </c>
      <c r="B34" s="25"/>
      <c r="C34" s="25"/>
      <c r="D34" s="214">
        <f>E191</f>
        <v>156.00238533348497</v>
      </c>
      <c r="E34" s="25" t="s">
        <v>980</v>
      </c>
      <c r="F34" s="25" t="s">
        <v>98</v>
      </c>
      <c r="G34" s="25"/>
      <c r="H34" s="214">
        <f>D21*D24</f>
        <v>2193.5440000000012</v>
      </c>
      <c r="I34" s="133" t="s">
        <v>1107</v>
      </c>
    </row>
    <row r="35" spans="1:10" x14ac:dyDescent="0.2">
      <c r="A35" s="144" t="s">
        <v>93</v>
      </c>
      <c r="B35" s="25"/>
      <c r="C35" s="25"/>
      <c r="D35" s="213">
        <f>E194</f>
        <v>6.2372868802092745</v>
      </c>
      <c r="E35" s="25" t="s">
        <v>874</v>
      </c>
      <c r="F35" t="s">
        <v>99</v>
      </c>
      <c r="H35" s="221">
        <f>H34/H33</f>
        <v>0.21199999999999986</v>
      </c>
      <c r="I35" s="133"/>
    </row>
    <row r="36" spans="1:10" x14ac:dyDescent="0.2">
      <c r="A36" s="141"/>
      <c r="B36" s="142"/>
      <c r="C36" s="142"/>
      <c r="D36" s="142"/>
      <c r="E36" s="142"/>
      <c r="F36" s="142"/>
      <c r="G36" s="142"/>
      <c r="H36" s="142"/>
      <c r="I36" s="135"/>
    </row>
    <row r="37" spans="1:10" x14ac:dyDescent="0.2">
      <c r="A37" s="130"/>
      <c r="B37" s="148"/>
      <c r="C37" s="148"/>
      <c r="D37" s="148"/>
      <c r="E37" s="148"/>
      <c r="F37" s="148"/>
      <c r="G37" s="148"/>
      <c r="H37" s="148"/>
      <c r="I37" s="131"/>
    </row>
    <row r="38" spans="1:10" x14ac:dyDescent="0.2">
      <c r="A38" s="144"/>
      <c r="B38" s="25"/>
      <c r="C38" s="25"/>
      <c r="D38" s="25"/>
      <c r="E38" s="212" t="s">
        <v>71</v>
      </c>
      <c r="F38" s="25"/>
      <c r="G38" s="25"/>
      <c r="H38" s="25"/>
      <c r="I38" s="133"/>
    </row>
    <row r="39" spans="1:10" x14ac:dyDescent="0.2">
      <c r="A39" s="144"/>
      <c r="B39" s="25"/>
      <c r="C39" s="25"/>
      <c r="D39" s="25"/>
      <c r="E39" s="25"/>
      <c r="F39" s="25"/>
      <c r="G39" s="25"/>
      <c r="H39" s="25"/>
      <c r="I39" s="133"/>
    </row>
    <row r="40" spans="1:10" x14ac:dyDescent="0.2">
      <c r="A40" s="211" t="s">
        <v>79</v>
      </c>
      <c r="B40" s="25"/>
      <c r="C40" s="25"/>
      <c r="D40" s="25"/>
      <c r="E40" s="25"/>
      <c r="F40" s="212" t="s">
        <v>90</v>
      </c>
      <c r="G40" s="25"/>
      <c r="H40" s="25"/>
      <c r="I40" s="133"/>
    </row>
    <row r="41" spans="1:10" x14ac:dyDescent="0.2">
      <c r="A41" s="144" t="s">
        <v>952</v>
      </c>
      <c r="B41" s="25"/>
      <c r="C41" s="25"/>
      <c r="D41" s="129">
        <f>E231</f>
        <v>61475.227676620918</v>
      </c>
      <c r="E41" s="25" t="s">
        <v>913</v>
      </c>
      <c r="F41" s="25" t="s">
        <v>1124</v>
      </c>
      <c r="G41" s="25"/>
      <c r="H41" s="128">
        <f>E246</f>
        <v>53.278405390948642</v>
      </c>
      <c r="I41" s="133" t="s">
        <v>975</v>
      </c>
      <c r="J41" s="33"/>
    </row>
    <row r="42" spans="1:10" x14ac:dyDescent="0.2">
      <c r="A42" s="144" t="s">
        <v>60</v>
      </c>
      <c r="B42" s="25"/>
      <c r="C42" s="25"/>
      <c r="D42" s="79">
        <f>E236</f>
        <v>0.19303999999999999</v>
      </c>
      <c r="E42" s="25" t="s">
        <v>904</v>
      </c>
      <c r="F42" s="25" t="s">
        <v>81</v>
      </c>
      <c r="G42" s="25"/>
      <c r="H42" s="129">
        <f>E241</f>
        <v>1153.8488666379046</v>
      </c>
      <c r="I42" s="133" t="s">
        <v>913</v>
      </c>
      <c r="J42" s="33"/>
    </row>
    <row r="43" spans="1:10" x14ac:dyDescent="0.2">
      <c r="A43" s="144" t="s">
        <v>1227</v>
      </c>
      <c r="B43" s="25"/>
      <c r="C43" s="25"/>
      <c r="D43" s="79">
        <f>E237</f>
        <v>0.39623999999999998</v>
      </c>
      <c r="E43" s="25" t="s">
        <v>904</v>
      </c>
      <c r="F43" s="25" t="s">
        <v>82</v>
      </c>
      <c r="G43" s="25"/>
      <c r="H43" s="129">
        <f>E242</f>
        <v>1153.8488666379046</v>
      </c>
      <c r="I43" s="133" t="s">
        <v>913</v>
      </c>
    </row>
    <row r="44" spans="1:10" ht="14.25" x14ac:dyDescent="0.2">
      <c r="A44" s="144" t="s">
        <v>89</v>
      </c>
      <c r="B44" s="25"/>
      <c r="C44" s="25"/>
      <c r="D44" s="218">
        <f>D42*D42*PI()/4</f>
        <v>2.9267423992671467E-2</v>
      </c>
      <c r="E44" s="25" t="s">
        <v>1107</v>
      </c>
      <c r="F44" s="25" t="s">
        <v>80</v>
      </c>
      <c r="G44" s="25"/>
      <c r="H44" s="129">
        <f>E243</f>
        <v>1153.8488666379046</v>
      </c>
      <c r="I44" s="133" t="s">
        <v>913</v>
      </c>
    </row>
    <row r="45" spans="1:10" x14ac:dyDescent="0.2">
      <c r="A45" s="144"/>
      <c r="B45" s="25"/>
      <c r="C45" s="25"/>
      <c r="D45" s="25"/>
      <c r="E45" s="25"/>
      <c r="F45" s="25" t="s">
        <v>83</v>
      </c>
      <c r="G45" s="25"/>
      <c r="H45" s="79">
        <f>E244</f>
        <v>0</v>
      </c>
      <c r="I45" s="133" t="s">
        <v>913</v>
      </c>
    </row>
    <row r="46" spans="1:10" x14ac:dyDescent="0.2">
      <c r="A46" s="219" t="s">
        <v>101</v>
      </c>
      <c r="B46" s="25"/>
      <c r="C46" s="25"/>
      <c r="D46" s="214">
        <f>E240</f>
        <v>15.683521617284596</v>
      </c>
      <c r="E46" s="25" t="s">
        <v>904</v>
      </c>
      <c r="F46" s="25"/>
      <c r="G46" s="25"/>
      <c r="H46" s="25"/>
      <c r="I46" s="133"/>
    </row>
    <row r="47" spans="1:10" x14ac:dyDescent="0.2">
      <c r="A47" s="144" t="s">
        <v>102</v>
      </c>
      <c r="B47" s="25"/>
      <c r="C47" s="25"/>
      <c r="D47" s="214">
        <f>H41*D43</f>
        <v>21.111035352109489</v>
      </c>
      <c r="E47" s="25" t="s">
        <v>904</v>
      </c>
      <c r="F47" s="25" t="s">
        <v>85</v>
      </c>
      <c r="G47" s="25"/>
      <c r="H47" s="128">
        <f>E233</f>
        <v>457.20107491660326</v>
      </c>
      <c r="I47" s="133" t="s">
        <v>904</v>
      </c>
    </row>
    <row r="48" spans="1:10" x14ac:dyDescent="0.2">
      <c r="A48" s="144" t="s">
        <v>103</v>
      </c>
      <c r="B48" s="25"/>
      <c r="C48" s="25"/>
      <c r="D48" s="214">
        <f>(D50-D49)/2</f>
        <v>36.794556969394087</v>
      </c>
      <c r="E48" s="25" t="s">
        <v>904</v>
      </c>
      <c r="F48" s="25" t="s">
        <v>86</v>
      </c>
      <c r="G48" s="25"/>
      <c r="H48" s="128">
        <f>E235</f>
        <v>457.20107491660326</v>
      </c>
      <c r="I48" s="133" t="s">
        <v>904</v>
      </c>
    </row>
    <row r="49" spans="1:11" x14ac:dyDescent="0.2">
      <c r="A49" s="144" t="s">
        <v>78</v>
      </c>
      <c r="B49" s="25"/>
      <c r="C49" s="25"/>
      <c r="D49" s="128">
        <f>E232</f>
        <v>95.250149293972683</v>
      </c>
      <c r="E49" s="25" t="s">
        <v>904</v>
      </c>
      <c r="F49" s="25" t="s">
        <v>84</v>
      </c>
      <c r="G49" s="25"/>
      <c r="H49" s="128">
        <f>E234</f>
        <v>457.20107491660326</v>
      </c>
      <c r="I49" s="133" t="s">
        <v>904</v>
      </c>
    </row>
    <row r="50" spans="1:11" x14ac:dyDescent="0.2">
      <c r="A50" s="144" t="s">
        <v>68</v>
      </c>
      <c r="B50" s="25"/>
      <c r="C50" s="25"/>
      <c r="D50" s="128">
        <f>E247</f>
        <v>168.83926323276086</v>
      </c>
      <c r="E50" s="25" t="s">
        <v>904</v>
      </c>
      <c r="F50" s="25" t="s">
        <v>88</v>
      </c>
      <c r="G50" s="25"/>
      <c r="H50" s="222">
        <f>2*E248</f>
        <v>0</v>
      </c>
      <c r="I50" s="133" t="s">
        <v>904</v>
      </c>
      <c r="K50" s="30"/>
    </row>
    <row r="51" spans="1:11" x14ac:dyDescent="0.2">
      <c r="A51" s="144"/>
      <c r="B51" s="25"/>
      <c r="C51" s="25"/>
      <c r="D51" s="25"/>
      <c r="E51" s="25"/>
      <c r="F51" s="25"/>
      <c r="G51" s="25"/>
      <c r="H51" s="25"/>
      <c r="I51" s="133"/>
      <c r="K51" s="30"/>
    </row>
    <row r="52" spans="1:11" x14ac:dyDescent="0.2">
      <c r="A52" s="144"/>
      <c r="B52" s="25"/>
      <c r="C52" s="25"/>
      <c r="D52" s="25"/>
      <c r="E52" s="25"/>
      <c r="F52" s="25" t="s">
        <v>87</v>
      </c>
      <c r="G52" s="25"/>
      <c r="H52" s="79">
        <f>E238</f>
        <v>0.2</v>
      </c>
      <c r="I52" s="133" t="s">
        <v>104</v>
      </c>
    </row>
    <row r="53" spans="1:11" x14ac:dyDescent="0.2">
      <c r="A53" s="144"/>
      <c r="B53" s="25"/>
      <c r="C53" s="25"/>
      <c r="D53" s="25"/>
      <c r="E53" s="25"/>
      <c r="F53" s="25" t="s">
        <v>91</v>
      </c>
      <c r="G53" s="25"/>
      <c r="H53" s="79">
        <f>E239</f>
        <v>0.1</v>
      </c>
      <c r="I53" s="133" t="s">
        <v>104</v>
      </c>
    </row>
    <row r="54" spans="1:11" x14ac:dyDescent="0.2">
      <c r="A54" s="144"/>
      <c r="B54" s="25"/>
      <c r="C54" s="25"/>
      <c r="D54" s="25"/>
      <c r="E54" s="25"/>
      <c r="F54" s="25"/>
      <c r="G54" s="25"/>
      <c r="H54" s="25"/>
      <c r="I54" s="133"/>
    </row>
    <row r="55" spans="1:11" x14ac:dyDescent="0.2">
      <c r="A55" s="144" t="s">
        <v>1126</v>
      </c>
      <c r="B55" s="25"/>
      <c r="C55" s="25"/>
      <c r="D55" s="128">
        <f>E250</f>
        <v>414.83067914241519</v>
      </c>
      <c r="E55" s="25" t="s">
        <v>904</v>
      </c>
      <c r="F55" s="25" t="s">
        <v>97</v>
      </c>
      <c r="G55" s="25"/>
      <c r="H55" s="217">
        <f>H48*(D50-D49)</f>
        <v>33645.021994974348</v>
      </c>
      <c r="I55" s="133" t="s">
        <v>100</v>
      </c>
    </row>
    <row r="56" spans="1:11" x14ac:dyDescent="0.2">
      <c r="A56" s="144" t="s">
        <v>1127</v>
      </c>
      <c r="B56" s="25"/>
      <c r="C56" s="25"/>
      <c r="D56" s="129">
        <f>E251</f>
        <v>25501.810447527256</v>
      </c>
      <c r="E56" s="25" t="s">
        <v>980</v>
      </c>
      <c r="F56" s="25" t="s">
        <v>98</v>
      </c>
      <c r="G56" s="25"/>
      <c r="H56" s="217">
        <f>D44*D41</f>
        <v>1799.221553457676</v>
      </c>
      <c r="I56" s="133" t="s">
        <v>100</v>
      </c>
    </row>
    <row r="57" spans="1:11" x14ac:dyDescent="0.2">
      <c r="A57" s="144" t="s">
        <v>1128</v>
      </c>
      <c r="B57" s="25"/>
      <c r="C57" s="25"/>
      <c r="D57" s="223">
        <f>E252</f>
        <v>6.6651046296102754</v>
      </c>
      <c r="E57" s="25" t="s">
        <v>874</v>
      </c>
      <c r="F57" s="25" t="s">
        <v>99</v>
      </c>
      <c r="G57" s="25"/>
      <c r="H57" s="224">
        <f>H56/H55</f>
        <v>5.3476605059923306E-2</v>
      </c>
      <c r="I57" s="133"/>
    </row>
    <row r="58" spans="1:11" x14ac:dyDescent="0.2">
      <c r="A58" s="141"/>
      <c r="B58" s="142"/>
      <c r="C58" s="142"/>
      <c r="D58" s="142"/>
      <c r="E58" s="142"/>
      <c r="F58" s="142"/>
      <c r="G58" s="142"/>
      <c r="H58" s="142"/>
      <c r="I58" s="135"/>
      <c r="K58" s="18"/>
    </row>
    <row r="60" spans="1:11" ht="20.25" x14ac:dyDescent="0.3">
      <c r="E60" s="210" t="s">
        <v>105</v>
      </c>
    </row>
    <row r="62" spans="1:11" x14ac:dyDescent="0.2">
      <c r="D62" t="s">
        <v>1021</v>
      </c>
      <c r="E62" s="286" t="str">
        <f>E3</f>
        <v>Codd's Example</v>
      </c>
    </row>
    <row r="64" spans="1:11" x14ac:dyDescent="0.2">
      <c r="A64" s="227" t="s">
        <v>111</v>
      </c>
      <c r="B64" s="148"/>
      <c r="C64" s="148"/>
      <c r="D64" s="148"/>
      <c r="E64" s="228"/>
      <c r="F64" s="228" t="s">
        <v>110</v>
      </c>
      <c r="G64" s="148"/>
      <c r="H64" s="148"/>
      <c r="I64" s="131"/>
    </row>
    <row r="65" spans="1:12" x14ac:dyDescent="0.2">
      <c r="A65" s="144"/>
      <c r="B65" s="25"/>
      <c r="C65" s="25"/>
      <c r="D65" s="25"/>
      <c r="E65" s="25"/>
      <c r="F65" s="25"/>
      <c r="G65" s="25"/>
      <c r="H65" s="25"/>
      <c r="I65" s="133"/>
    </row>
    <row r="66" spans="1:12" x14ac:dyDescent="0.2">
      <c r="A66" s="144" t="s">
        <v>121</v>
      </c>
      <c r="B66" s="25"/>
      <c r="C66" s="25"/>
      <c r="D66" s="216">
        <f>E130</f>
        <v>31.047548815915711</v>
      </c>
      <c r="E66" s="25" t="s">
        <v>834</v>
      </c>
      <c r="F66" s="25"/>
      <c r="G66" s="25"/>
      <c r="H66" s="25"/>
      <c r="I66" s="133"/>
    </row>
    <row r="67" spans="1:12" x14ac:dyDescent="0.2">
      <c r="A67" s="144" t="s">
        <v>145</v>
      </c>
      <c r="B67" s="25"/>
      <c r="C67" s="25"/>
      <c r="D67" s="217">
        <f>E131</f>
        <v>174999.99974935313</v>
      </c>
      <c r="E67" s="25" t="s">
        <v>837</v>
      </c>
      <c r="F67" s="25"/>
      <c r="G67" s="25"/>
      <c r="H67" s="25"/>
      <c r="I67" s="133"/>
    </row>
    <row r="68" spans="1:12" x14ac:dyDescent="0.2">
      <c r="A68" s="144" t="s">
        <v>123</v>
      </c>
      <c r="B68" s="25"/>
      <c r="C68" s="25"/>
      <c r="D68" s="214">
        <f>E132</f>
        <v>5</v>
      </c>
      <c r="E68" s="25" t="s">
        <v>840</v>
      </c>
      <c r="F68" s="25" t="s">
        <v>107</v>
      </c>
      <c r="G68" s="25"/>
      <c r="H68" s="129">
        <f>E220</f>
        <v>9300.0186000371996</v>
      </c>
      <c r="I68" s="229" t="s">
        <v>931</v>
      </c>
    </row>
    <row r="69" spans="1:12" x14ac:dyDescent="0.2">
      <c r="A69" s="144" t="s">
        <v>108</v>
      </c>
      <c r="B69" s="25"/>
      <c r="C69" s="25"/>
      <c r="D69" s="217">
        <f>E133</f>
        <v>874.99999874676564</v>
      </c>
      <c r="E69" s="25" t="s">
        <v>843</v>
      </c>
      <c r="F69" s="25" t="s">
        <v>106</v>
      </c>
      <c r="G69" s="25"/>
      <c r="H69" s="129">
        <f>E221</f>
        <v>265073.12656177429</v>
      </c>
      <c r="I69" s="229" t="s">
        <v>933</v>
      </c>
    </row>
    <row r="70" spans="1:12" x14ac:dyDescent="0.2">
      <c r="A70" s="144" t="s">
        <v>109</v>
      </c>
      <c r="B70" s="25"/>
      <c r="C70" s="25"/>
      <c r="D70" s="25">
        <f>E137</f>
        <v>2187.499996866914</v>
      </c>
      <c r="E70" s="25" t="s">
        <v>843</v>
      </c>
      <c r="F70" s="25"/>
      <c r="G70" s="25"/>
      <c r="H70" s="25"/>
      <c r="I70" s="133"/>
    </row>
    <row r="71" spans="1:12" x14ac:dyDescent="0.2">
      <c r="A71" s="144" t="s">
        <v>124</v>
      </c>
      <c r="B71" s="25"/>
      <c r="C71" s="25"/>
      <c r="D71" s="224">
        <f>E136</f>
        <v>0.4</v>
      </c>
      <c r="E71" s="25"/>
      <c r="F71" s="25"/>
      <c r="G71" s="25"/>
      <c r="H71" s="25"/>
      <c r="I71" s="133"/>
    </row>
    <row r="72" spans="1:12" x14ac:dyDescent="0.2">
      <c r="A72" s="141"/>
      <c r="B72" s="142"/>
      <c r="C72" s="142"/>
      <c r="D72" s="142"/>
      <c r="E72" s="142"/>
      <c r="F72" s="142"/>
      <c r="G72" s="142"/>
      <c r="H72" s="142"/>
      <c r="I72" s="135"/>
    </row>
    <row r="73" spans="1:12" x14ac:dyDescent="0.2">
      <c r="A73" s="130"/>
      <c r="B73" s="148"/>
      <c r="C73" s="148"/>
      <c r="D73" s="148"/>
      <c r="E73" s="148"/>
      <c r="F73" s="148"/>
      <c r="G73" s="148"/>
      <c r="H73" s="148"/>
      <c r="I73" s="131"/>
    </row>
    <row r="74" spans="1:12" x14ac:dyDescent="0.2">
      <c r="A74" s="211" t="s">
        <v>1088</v>
      </c>
      <c r="B74" s="25"/>
      <c r="C74" s="25"/>
      <c r="D74" s="25"/>
      <c r="E74" s="25"/>
      <c r="F74" s="212" t="s">
        <v>71</v>
      </c>
      <c r="G74" s="25"/>
      <c r="H74" s="25"/>
      <c r="I74" s="230"/>
    </row>
    <row r="75" spans="1:12" x14ac:dyDescent="0.2">
      <c r="A75" s="144"/>
      <c r="B75" s="25"/>
      <c r="C75" s="25"/>
      <c r="D75" s="25"/>
      <c r="E75" s="25"/>
      <c r="F75" s="25"/>
      <c r="G75" s="25"/>
      <c r="H75" s="25"/>
      <c r="I75" s="230"/>
    </row>
    <row r="76" spans="1:12" x14ac:dyDescent="0.2">
      <c r="A76" s="144" t="s">
        <v>125</v>
      </c>
      <c r="B76" s="25"/>
      <c r="C76" s="25"/>
      <c r="D76" s="25">
        <f>E161</f>
        <v>220</v>
      </c>
      <c r="E76" s="25" t="s">
        <v>837</v>
      </c>
      <c r="F76" s="25" t="s">
        <v>136</v>
      </c>
      <c r="G76" s="25"/>
      <c r="H76" s="231">
        <f>E218</f>
        <v>100</v>
      </c>
      <c r="I76" s="133"/>
      <c r="J76" s="33" t="s">
        <v>138</v>
      </c>
      <c r="K76">
        <f>D41/D21</f>
        <v>90.404746583265975</v>
      </c>
      <c r="L76" t="s">
        <v>139</v>
      </c>
    </row>
    <row r="77" spans="1:12" ht="15.75" x14ac:dyDescent="0.3">
      <c r="A77" s="144" t="s">
        <v>126</v>
      </c>
      <c r="B77" s="25"/>
      <c r="C77" s="25"/>
      <c r="D77" s="25">
        <f>E162</f>
        <v>50</v>
      </c>
      <c r="E77" s="25" t="s">
        <v>893</v>
      </c>
      <c r="F77" s="25" t="s">
        <v>142</v>
      </c>
      <c r="G77" s="25"/>
      <c r="H77" s="128">
        <f t="shared" ref="H77:H83" si="0">M245</f>
        <v>108.69010808248466</v>
      </c>
      <c r="I77" s="133" t="s">
        <v>898</v>
      </c>
    </row>
    <row r="78" spans="1:12" x14ac:dyDescent="0.2">
      <c r="A78" s="144" t="s">
        <v>146</v>
      </c>
      <c r="B78" s="25"/>
      <c r="C78" s="25"/>
      <c r="D78" s="25">
        <f>E163</f>
        <v>10</v>
      </c>
      <c r="E78" s="25" t="s">
        <v>895</v>
      </c>
      <c r="F78" s="25" t="s">
        <v>144</v>
      </c>
      <c r="G78" s="25"/>
      <c r="H78" s="128">
        <f t="shared" si="0"/>
        <v>30</v>
      </c>
      <c r="I78" s="133"/>
    </row>
    <row r="79" spans="1:12" ht="15.75" x14ac:dyDescent="0.3">
      <c r="A79" s="144" t="s">
        <v>128</v>
      </c>
      <c r="B79" s="25"/>
      <c r="C79" s="25"/>
      <c r="D79" s="216">
        <f>E169</f>
        <v>3.1000062000124</v>
      </c>
      <c r="E79" s="25" t="s">
        <v>120</v>
      </c>
      <c r="F79" s="25" t="s">
        <v>1120</v>
      </c>
      <c r="G79" s="25"/>
      <c r="H79" s="128">
        <f t="shared" si="0"/>
        <v>3260.7032424745398</v>
      </c>
      <c r="I79" s="133" t="s">
        <v>898</v>
      </c>
    </row>
    <row r="80" spans="1:12" x14ac:dyDescent="0.2">
      <c r="A80" s="144" t="s">
        <v>119</v>
      </c>
      <c r="B80" s="25"/>
      <c r="C80" s="25"/>
      <c r="D80" s="218">
        <f>E192</f>
        <v>0.86372453408644134</v>
      </c>
      <c r="E80" s="25" t="s">
        <v>965</v>
      </c>
      <c r="F80" s="25" t="s">
        <v>134</v>
      </c>
      <c r="G80" s="25"/>
      <c r="H80" s="129">
        <f t="shared" si="0"/>
        <v>15562.091652032106</v>
      </c>
      <c r="I80" s="133" t="s">
        <v>965</v>
      </c>
    </row>
    <row r="81" spans="1:10" x14ac:dyDescent="0.2">
      <c r="A81" s="144" t="s">
        <v>114</v>
      </c>
      <c r="B81" s="25"/>
      <c r="C81" s="25" t="str">
        <f>CONCATENATE(TEXT(C193,"###0")," turns")</f>
        <v>680 turns</v>
      </c>
      <c r="D81" s="214">
        <f>1000*E193</f>
        <v>190.40477174961157</v>
      </c>
      <c r="E81" s="25" t="s">
        <v>995</v>
      </c>
      <c r="F81" s="25" t="s">
        <v>133</v>
      </c>
      <c r="G81" s="25"/>
      <c r="H81" s="128">
        <f t="shared" si="0"/>
        <v>1</v>
      </c>
      <c r="I81" s="133" t="s">
        <v>120</v>
      </c>
    </row>
    <row r="82" spans="1:10" x14ac:dyDescent="0.2">
      <c r="A82" s="144" t="s">
        <v>129</v>
      </c>
      <c r="B82" s="25"/>
      <c r="C82" s="25"/>
      <c r="D82" s="214">
        <f>D81/D80</f>
        <v>220.44617726530379</v>
      </c>
      <c r="E82" s="25" t="s">
        <v>130</v>
      </c>
      <c r="F82" s="25" t="s">
        <v>137</v>
      </c>
      <c r="G82" s="25"/>
      <c r="H82" s="128">
        <f t="shared" si="0"/>
        <v>29.267423992671468</v>
      </c>
      <c r="I82" s="133" t="s">
        <v>840</v>
      </c>
    </row>
    <row r="83" spans="1:10" x14ac:dyDescent="0.2">
      <c r="A83" s="144" t="s">
        <v>135</v>
      </c>
      <c r="B83" s="25"/>
      <c r="C83" s="25"/>
      <c r="D83" s="25">
        <f>E226</f>
        <v>1749.9999974935313</v>
      </c>
      <c r="E83" s="25" t="s">
        <v>837</v>
      </c>
      <c r="F83" s="25" t="s">
        <v>132</v>
      </c>
      <c r="G83" s="25"/>
      <c r="H83" s="128">
        <f t="shared" si="0"/>
        <v>13.330209259220551</v>
      </c>
      <c r="I83" s="133" t="s">
        <v>971</v>
      </c>
    </row>
    <row r="84" spans="1:10" x14ac:dyDescent="0.2">
      <c r="A84" s="141"/>
      <c r="B84" s="142"/>
      <c r="C84" s="142"/>
      <c r="D84" s="232"/>
      <c r="E84" s="142"/>
      <c r="F84" s="142"/>
      <c r="G84" s="142"/>
      <c r="H84" s="142"/>
      <c r="I84" s="135"/>
    </row>
    <row r="86" spans="1:10" ht="20.25" x14ac:dyDescent="0.3">
      <c r="A86" s="46" t="s">
        <v>466</v>
      </c>
    </row>
    <row r="88" spans="1:10" x14ac:dyDescent="0.2">
      <c r="C88" s="2" t="s">
        <v>410</v>
      </c>
      <c r="D88" s="2" t="s">
        <v>413</v>
      </c>
      <c r="E88" s="2" t="s">
        <v>857</v>
      </c>
      <c r="F88" s="2" t="s">
        <v>414</v>
      </c>
      <c r="H88" t="s">
        <v>420</v>
      </c>
    </row>
    <row r="89" spans="1:10" x14ac:dyDescent="0.2">
      <c r="A89" s="3" t="s">
        <v>409</v>
      </c>
      <c r="B89" s="2" t="s">
        <v>411</v>
      </c>
      <c r="C89" s="287">
        <v>0</v>
      </c>
      <c r="D89" s="288">
        <f>D13/20</f>
        <v>31.750074646986338</v>
      </c>
      <c r="E89" s="290">
        <f>D12/20</f>
        <v>3.1750074646986337</v>
      </c>
      <c r="F89" s="288">
        <f>D89</f>
        <v>31.750074646986338</v>
      </c>
      <c r="G89" t="s">
        <v>421</v>
      </c>
      <c r="H89" s="53">
        <v>0.35</v>
      </c>
      <c r="I89" t="s">
        <v>904</v>
      </c>
    </row>
    <row r="90" spans="1:10" x14ac:dyDescent="0.2">
      <c r="A90" t="s">
        <v>416</v>
      </c>
      <c r="B90" t="s">
        <v>412</v>
      </c>
      <c r="C90" s="287">
        <v>0</v>
      </c>
      <c r="D90" s="288">
        <f>-D89</f>
        <v>-31.750074646986338</v>
      </c>
      <c r="E90" s="290">
        <f>E89</f>
        <v>3.1750074646986337</v>
      </c>
      <c r="F90" s="288">
        <f>-F89</f>
        <v>-31.750074646986338</v>
      </c>
      <c r="G90" t="s">
        <v>422</v>
      </c>
      <c r="H90" s="291">
        <v>0.9</v>
      </c>
      <c r="I90" s="30" t="s">
        <v>423</v>
      </c>
    </row>
    <row r="92" spans="1:10" x14ac:dyDescent="0.2">
      <c r="C92" s="2" t="s">
        <v>410</v>
      </c>
      <c r="D92" s="2" t="s">
        <v>413</v>
      </c>
      <c r="E92" s="2" t="s">
        <v>857</v>
      </c>
      <c r="F92" s="2" t="s">
        <v>414</v>
      </c>
      <c r="H92" t="s">
        <v>415</v>
      </c>
    </row>
    <row r="93" spans="1:10" ht="15.75" x14ac:dyDescent="0.3">
      <c r="A93" s="3" t="s">
        <v>1088</v>
      </c>
      <c r="B93" s="2" t="s">
        <v>411</v>
      </c>
      <c r="C93" s="290">
        <f>H14/20</f>
        <v>3.1750074646986337</v>
      </c>
      <c r="D93" s="292">
        <f>D26/20</f>
        <v>27.157232704402542</v>
      </c>
      <c r="E93" s="290">
        <f>D31/20</f>
        <v>4.1275074646986338</v>
      </c>
      <c r="F93" s="288">
        <f>D93</f>
        <v>27.157232704402542</v>
      </c>
      <c r="G93" t="s">
        <v>834</v>
      </c>
      <c r="H93" t="s">
        <v>457</v>
      </c>
    </row>
    <row r="94" spans="1:10" ht="14.25" x14ac:dyDescent="0.2">
      <c r="A94" t="s">
        <v>417</v>
      </c>
      <c r="B94" t="s">
        <v>412</v>
      </c>
      <c r="C94" s="290">
        <f>C93</f>
        <v>3.1750074646986337</v>
      </c>
      <c r="D94" s="292">
        <f>-D93</f>
        <v>-27.157232704402542</v>
      </c>
      <c r="E94" s="290">
        <f>E93</f>
        <v>4.1275074646986338</v>
      </c>
      <c r="F94" s="288">
        <f>-F93</f>
        <v>-27.157232704402542</v>
      </c>
      <c r="G94" t="s">
        <v>834</v>
      </c>
      <c r="H94" s="58">
        <f>D21*D78/((E93-C93)*2*F93*100)</f>
        <v>1.3144026288052573</v>
      </c>
      <c r="I94" t="s">
        <v>432</v>
      </c>
      <c r="J94" t="s">
        <v>419</v>
      </c>
    </row>
    <row r="96" spans="1:10" ht="15.75" x14ac:dyDescent="0.3">
      <c r="C96" s="2" t="s">
        <v>410</v>
      </c>
      <c r="D96" s="2" t="s">
        <v>413</v>
      </c>
      <c r="E96" s="2" t="s">
        <v>857</v>
      </c>
      <c r="F96" s="2" t="s">
        <v>414</v>
      </c>
      <c r="H96" t="s">
        <v>415</v>
      </c>
      <c r="J96" s="2" t="s">
        <v>424</v>
      </c>
    </row>
    <row r="97" spans="1:10" ht="15.75" x14ac:dyDescent="0.3">
      <c r="A97" s="3" t="s">
        <v>418</v>
      </c>
      <c r="B97" s="2" t="s">
        <v>411</v>
      </c>
      <c r="C97" s="290">
        <f>D49/20</f>
        <v>4.7625074646986345</v>
      </c>
      <c r="D97" s="288">
        <f>H47/20</f>
        <v>22.860053745830164</v>
      </c>
      <c r="E97" s="290">
        <f>D50/20</f>
        <v>8.4419631616380428</v>
      </c>
      <c r="F97" s="288">
        <f>H49/20</f>
        <v>22.860053745830164</v>
      </c>
      <c r="G97" t="s">
        <v>834</v>
      </c>
      <c r="H97" t="s">
        <v>456</v>
      </c>
      <c r="J97" s="289">
        <f>D41*D68*0.001</f>
        <v>307.3761383831046</v>
      </c>
    </row>
    <row r="98" spans="1:10" ht="15.75" x14ac:dyDescent="0.3">
      <c r="A98" t="s">
        <v>417</v>
      </c>
      <c r="B98" t="s">
        <v>412</v>
      </c>
      <c r="C98" s="290">
        <f>C97</f>
        <v>4.7625074646986345</v>
      </c>
      <c r="D98" s="288">
        <f>-D97</f>
        <v>-22.860053745830164</v>
      </c>
      <c r="E98" s="290">
        <f>E97</f>
        <v>8.4419631616380428</v>
      </c>
      <c r="F98" s="288">
        <f>-F97</f>
        <v>-22.860053745830164</v>
      </c>
      <c r="G98" t="s">
        <v>834</v>
      </c>
      <c r="H98">
        <f>G103/H55</f>
        <v>0.20211013685815812</v>
      </c>
      <c r="I98" t="s">
        <v>432</v>
      </c>
      <c r="J98" t="s">
        <v>433</v>
      </c>
    </row>
    <row r="99" spans="1:10" ht="14.25" x14ac:dyDescent="0.2">
      <c r="H99">
        <f>D41*0.001*D68/((E97-C97)*(D97+F97)*100)</f>
        <v>1.8271715704570996E-2</v>
      </c>
      <c r="I99" t="s">
        <v>432</v>
      </c>
      <c r="J99" t="s">
        <v>425</v>
      </c>
    </row>
    <row r="101" spans="1:10" ht="20.25" x14ac:dyDescent="0.3">
      <c r="B101" s="46" t="s">
        <v>465</v>
      </c>
    </row>
    <row r="103" spans="1:10" ht="15.75" x14ac:dyDescent="0.3">
      <c r="F103" s="33" t="s">
        <v>460</v>
      </c>
      <c r="G103" s="260">
        <f>D21*D78</f>
        <v>6800.0000000000055</v>
      </c>
      <c r="H103" t="s">
        <v>895</v>
      </c>
    </row>
    <row r="104" spans="1:10" ht="15.75" x14ac:dyDescent="0.3">
      <c r="B104" t="s">
        <v>458</v>
      </c>
      <c r="C104" s="28">
        <v>0.895910653821683</v>
      </c>
      <c r="D104" t="s">
        <v>459</v>
      </c>
      <c r="F104" s="33" t="s">
        <v>455</v>
      </c>
      <c r="G104" s="10">
        <f>D78</f>
        <v>10</v>
      </c>
      <c r="H104" t="s">
        <v>895</v>
      </c>
    </row>
    <row r="105" spans="1:10" ht="15.75" x14ac:dyDescent="0.3">
      <c r="A105" t="s">
        <v>440</v>
      </c>
      <c r="C105" s="293">
        <v>0.72393450000000004</v>
      </c>
      <c r="D105" t="s">
        <v>428</v>
      </c>
      <c r="F105" t="s">
        <v>438</v>
      </c>
      <c r="G105" s="10">
        <f>1000*C105/(D78*D78)</f>
        <v>7.239345000000001</v>
      </c>
      <c r="H105" t="s">
        <v>995</v>
      </c>
      <c r="J105" t="s">
        <v>451</v>
      </c>
    </row>
    <row r="106" spans="1:10" ht="15.75" x14ac:dyDescent="0.3">
      <c r="A106" t="s">
        <v>450</v>
      </c>
      <c r="C106" s="293">
        <v>0.3542573</v>
      </c>
      <c r="D106" t="s">
        <v>427</v>
      </c>
      <c r="F106" t="s">
        <v>445</v>
      </c>
      <c r="G106" s="10">
        <f>2000*C106/(D78*D78)</f>
        <v>7.0851459999999999</v>
      </c>
      <c r="H106" t="s">
        <v>995</v>
      </c>
      <c r="J106" t="s">
        <v>452</v>
      </c>
    </row>
    <row r="107" spans="1:10" ht="15.75" x14ac:dyDescent="0.3">
      <c r="A107" t="s">
        <v>429</v>
      </c>
      <c r="C107" s="293">
        <v>1.2450130000000001E-6</v>
      </c>
      <c r="D107" t="s">
        <v>439</v>
      </c>
      <c r="F107" s="33" t="s">
        <v>463</v>
      </c>
      <c r="G107" s="29">
        <f>1000*(D41/(D78*(0.000001*H55)))*C107</f>
        <v>227.48523584495049</v>
      </c>
      <c r="H107" t="s">
        <v>995</v>
      </c>
      <c r="J107" t="s">
        <v>448</v>
      </c>
    </row>
    <row r="108" spans="1:10" ht="15.75" x14ac:dyDescent="0.3">
      <c r="A108" t="s">
        <v>431</v>
      </c>
      <c r="C108" s="293">
        <v>3.382768E-3</v>
      </c>
      <c r="D108" t="s">
        <v>430</v>
      </c>
      <c r="F108" s="33" t="s">
        <v>462</v>
      </c>
      <c r="G108" s="10">
        <f>0.001*G107/SQRT(0.001*G105*G113)</f>
        <v>0.32289599487406678</v>
      </c>
      <c r="H108" t="s">
        <v>423</v>
      </c>
    </row>
    <row r="109" spans="1:10" x14ac:dyDescent="0.2">
      <c r="C109" s="294"/>
    </row>
    <row r="111" spans="1:10" ht="15.75" x14ac:dyDescent="0.3">
      <c r="C111" s="31"/>
      <c r="F111" s="33" t="s">
        <v>461</v>
      </c>
      <c r="G111" s="260">
        <f>G103</f>
        <v>6800.0000000000055</v>
      </c>
      <c r="H111" t="s">
        <v>895</v>
      </c>
    </row>
    <row r="112" spans="1:10" ht="15.75" x14ac:dyDescent="0.3">
      <c r="B112" t="s">
        <v>458</v>
      </c>
      <c r="C112" s="28">
        <v>0.98411108819553805</v>
      </c>
      <c r="D112" t="s">
        <v>459</v>
      </c>
      <c r="F112" s="33" t="s">
        <v>443</v>
      </c>
      <c r="G112" s="10">
        <f>G103/D41</f>
        <v>0.11061366109565547</v>
      </c>
      <c r="H112" t="s">
        <v>895</v>
      </c>
      <c r="J112" t="s">
        <v>433</v>
      </c>
    </row>
    <row r="113" spans="1:15" ht="15.75" x14ac:dyDescent="0.3">
      <c r="A113" t="s">
        <v>441</v>
      </c>
      <c r="C113" s="293">
        <v>0.83887909999999999</v>
      </c>
      <c r="D113" t="s">
        <v>428</v>
      </c>
      <c r="F113" t="s">
        <v>442</v>
      </c>
      <c r="G113" s="10">
        <f>C113/(G112*G112)</f>
        <v>68.561741559132727</v>
      </c>
      <c r="H113" t="s">
        <v>898</v>
      </c>
      <c r="J113" t="s">
        <v>453</v>
      </c>
    </row>
    <row r="114" spans="1:15" ht="15.75" x14ac:dyDescent="0.3">
      <c r="A114" t="s">
        <v>450</v>
      </c>
      <c r="C114" s="293">
        <v>0.40994510000000001</v>
      </c>
      <c r="D114" t="s">
        <v>427</v>
      </c>
      <c r="F114" t="s">
        <v>444</v>
      </c>
      <c r="G114" s="10">
        <f>2*C114/(G112*G112)</f>
        <v>67.009775305244389</v>
      </c>
      <c r="H114" t="s">
        <v>898</v>
      </c>
      <c r="J114" t="s">
        <v>454</v>
      </c>
    </row>
    <row r="115" spans="1:15" ht="15.75" x14ac:dyDescent="0.3">
      <c r="A115" t="s">
        <v>446</v>
      </c>
      <c r="C115" s="293">
        <v>3.8451770000000003E-7</v>
      </c>
      <c r="D115" t="s">
        <v>439</v>
      </c>
      <c r="F115" s="33" t="s">
        <v>464</v>
      </c>
      <c r="G115" s="10">
        <f>1000000000*C115*D21/(H33*G112)</f>
        <v>228.45780109614421</v>
      </c>
      <c r="H115" t="s">
        <v>995</v>
      </c>
      <c r="J115" t="s">
        <v>449</v>
      </c>
    </row>
    <row r="116" spans="1:15" ht="15.75" x14ac:dyDescent="0.3">
      <c r="A116" t="s">
        <v>447</v>
      </c>
      <c r="C116" s="293">
        <v>1.0455E-3</v>
      </c>
      <c r="D116" t="s">
        <v>430</v>
      </c>
      <c r="F116" s="33" t="s">
        <v>462</v>
      </c>
      <c r="G116" s="10">
        <f>0.001*G115/SQRT(0.001*G105*G113)</f>
        <v>0.3242764687461302</v>
      </c>
      <c r="H116" t="s">
        <v>423</v>
      </c>
    </row>
    <row r="117" spans="1:15" x14ac:dyDescent="0.2">
      <c r="C117" s="145"/>
      <c r="D117" s="145"/>
      <c r="E117" s="145"/>
      <c r="F117" s="145"/>
    </row>
    <row r="118" spans="1:15" x14ac:dyDescent="0.2">
      <c r="C118" s="145"/>
      <c r="D118" s="145"/>
      <c r="E118" s="145"/>
      <c r="F118" s="145"/>
    </row>
    <row r="119" spans="1:15" x14ac:dyDescent="0.2">
      <c r="C119" s="145"/>
      <c r="D119" s="145"/>
      <c r="E119" s="145"/>
      <c r="F119" s="145"/>
    </row>
    <row r="121" spans="1:15" ht="23.25" x14ac:dyDescent="0.35">
      <c r="A121" s="1" t="s">
        <v>824</v>
      </c>
    </row>
    <row r="124" spans="1:15" ht="20.25" x14ac:dyDescent="0.3">
      <c r="E124" s="210" t="s">
        <v>194</v>
      </c>
    </row>
    <row r="125" spans="1:15" x14ac:dyDescent="0.2">
      <c r="D125" s="226"/>
    </row>
    <row r="127" spans="1:15" x14ac:dyDescent="0.2">
      <c r="E127" s="2" t="s">
        <v>825</v>
      </c>
      <c r="G127" s="2" t="s">
        <v>825</v>
      </c>
      <c r="O127" s="3" t="s">
        <v>826</v>
      </c>
    </row>
    <row r="128" spans="1:15" ht="13.5" thickBot="1" x14ac:dyDescent="0.25">
      <c r="E128" s="2" t="s">
        <v>827</v>
      </c>
      <c r="G128" s="2" t="s">
        <v>828</v>
      </c>
    </row>
    <row r="129" spans="1:22" x14ac:dyDescent="0.2">
      <c r="A129" s="3" t="s">
        <v>829</v>
      </c>
      <c r="E129" t="s">
        <v>830</v>
      </c>
      <c r="G129" t="s">
        <v>831</v>
      </c>
      <c r="I129" s="40" t="s">
        <v>1236</v>
      </c>
      <c r="O129" s="4" t="s">
        <v>832</v>
      </c>
      <c r="P129" s="5"/>
      <c r="Q129" s="6"/>
      <c r="R129" s="6"/>
      <c r="S129" s="6"/>
      <c r="T129" s="7"/>
      <c r="U129" s="8"/>
    </row>
    <row r="130" spans="1:22" ht="13.5" thickBot="1" x14ac:dyDescent="0.25">
      <c r="A130" t="s">
        <v>833</v>
      </c>
      <c r="E130" s="9">
        <v>31.047548815915711</v>
      </c>
      <c r="F130" t="s">
        <v>834</v>
      </c>
      <c r="G130" s="10">
        <f>E130/2.54</f>
        <v>12.223444415714846</v>
      </c>
      <c r="H130" t="s">
        <v>835</v>
      </c>
      <c r="O130" s="11" t="s">
        <v>1098</v>
      </c>
      <c r="P130" s="12"/>
      <c r="Q130" s="13"/>
      <c r="R130" s="13"/>
      <c r="S130" s="13"/>
      <c r="T130" s="13"/>
      <c r="U130" s="14"/>
    </row>
    <row r="131" spans="1:22" x14ac:dyDescent="0.2">
      <c r="A131" t="s">
        <v>836</v>
      </c>
      <c r="E131" s="15">
        <f>1000*($R$134+$R$136*E130+$R$138*E130^2+$R$140*E130^3+$R$142*E130^4+$R$144*E130^5)/(1+$R$135*E130+$R$137*E130^2+$R$139*E130^3+$R$141*E130^4+$R$143*E130^5)</f>
        <v>174999.99974935313</v>
      </c>
      <c r="F131" t="s">
        <v>837</v>
      </c>
      <c r="G131" s="16">
        <f>E131</f>
        <v>174999.99974935313</v>
      </c>
      <c r="H131" t="s">
        <v>837</v>
      </c>
      <c r="I131" t="s">
        <v>0</v>
      </c>
    </row>
    <row r="132" spans="1:22" x14ac:dyDescent="0.2">
      <c r="A132" t="s">
        <v>839</v>
      </c>
      <c r="E132" s="17">
        <v>5</v>
      </c>
      <c r="F132" t="s">
        <v>840</v>
      </c>
      <c r="G132" s="10">
        <f>E132</f>
        <v>5</v>
      </c>
      <c r="H132" t="s">
        <v>840</v>
      </c>
      <c r="O132" t="s">
        <v>50</v>
      </c>
      <c r="R132" t="s">
        <v>841</v>
      </c>
    </row>
    <row r="133" spans="1:22" x14ac:dyDescent="0.2">
      <c r="A133" t="s">
        <v>842</v>
      </c>
      <c r="E133" s="10">
        <f>0.001*E132*E131</f>
        <v>874.99999874676564</v>
      </c>
      <c r="F133" t="s">
        <v>843</v>
      </c>
      <c r="G133" s="10">
        <f>E133</f>
        <v>874.99999874676564</v>
      </c>
      <c r="H133" t="s">
        <v>843</v>
      </c>
      <c r="Q133" t="s">
        <v>844</v>
      </c>
      <c r="R133" t="s">
        <v>845</v>
      </c>
      <c r="S133" t="s">
        <v>846</v>
      </c>
      <c r="T133" t="s">
        <v>847</v>
      </c>
      <c r="U133" t="s">
        <v>848</v>
      </c>
      <c r="V133" t="s">
        <v>848</v>
      </c>
    </row>
    <row r="134" spans="1:22" x14ac:dyDescent="0.2">
      <c r="E134" s="18"/>
      <c r="G134" s="18"/>
      <c r="O134" t="s">
        <v>849</v>
      </c>
      <c r="P134" t="s">
        <v>841</v>
      </c>
      <c r="Q134" s="2" t="s">
        <v>850</v>
      </c>
      <c r="R134">
        <v>0.10168117593888058</v>
      </c>
      <c r="S134">
        <v>1.3223173201672782E-8</v>
      </c>
      <c r="T134">
        <v>7689619.9110526303</v>
      </c>
      <c r="U134">
        <v>0.10168114835582463</v>
      </c>
      <c r="V134">
        <v>0.10168120352193655</v>
      </c>
    </row>
    <row r="135" spans="1:22" x14ac:dyDescent="0.2">
      <c r="A135" s="3" t="s">
        <v>851</v>
      </c>
      <c r="E135" s="18"/>
      <c r="G135" s="18"/>
      <c r="O135" t="s">
        <v>852</v>
      </c>
      <c r="P135">
        <v>7909</v>
      </c>
      <c r="Q135" s="2" t="s">
        <v>853</v>
      </c>
      <c r="R135">
        <v>-0.10298422903794459</v>
      </c>
      <c r="S135">
        <v>5.3550248326002946E-6</v>
      </c>
      <c r="T135">
        <v>-19231.32613895601</v>
      </c>
      <c r="U135">
        <v>-0.10299539942400515</v>
      </c>
      <c r="V135">
        <v>-0.10297305865188403</v>
      </c>
    </row>
    <row r="136" spans="1:22" x14ac:dyDescent="0.2">
      <c r="A136" t="s">
        <v>854</v>
      </c>
      <c r="E136" s="17">
        <v>0.4</v>
      </c>
      <c r="F136" t="s">
        <v>855</v>
      </c>
      <c r="G136" s="10">
        <f>E136</f>
        <v>0.4</v>
      </c>
      <c r="H136" t="s">
        <v>855</v>
      </c>
      <c r="I136" t="s">
        <v>856</v>
      </c>
      <c r="O136" t="s">
        <v>857</v>
      </c>
      <c r="P136">
        <v>0.99999210248868464</v>
      </c>
      <c r="Q136" s="2" t="s">
        <v>858</v>
      </c>
      <c r="R136">
        <v>11.60983286832051</v>
      </c>
      <c r="S136">
        <v>9.1837419778150747E-8</v>
      </c>
      <c r="T136">
        <v>126417237.07358155</v>
      </c>
      <c r="U136">
        <v>11.609832676751008</v>
      </c>
      <c r="V136">
        <v>11.609833059890009</v>
      </c>
    </row>
    <row r="137" spans="1:22" x14ac:dyDescent="0.2">
      <c r="A137" t="s">
        <v>859</v>
      </c>
      <c r="E137" s="10">
        <f>E133/E136</f>
        <v>2187.499996866914</v>
      </c>
      <c r="F137" t="s">
        <v>843</v>
      </c>
      <c r="G137" s="10">
        <f>E137</f>
        <v>2187.499996866914</v>
      </c>
      <c r="H137" t="s">
        <v>843</v>
      </c>
      <c r="O137" t="s">
        <v>860</v>
      </c>
      <c r="P137">
        <v>0.99998753024529152</v>
      </c>
      <c r="Q137" s="2" t="s">
        <v>861</v>
      </c>
      <c r="R137">
        <v>2.2002776709666754E-2</v>
      </c>
      <c r="S137">
        <v>2.7363452194542684E-5</v>
      </c>
      <c r="T137">
        <v>804.09359730037818</v>
      </c>
      <c r="U137">
        <v>2.1945697548595093E-2</v>
      </c>
      <c r="V137">
        <v>2.2059855870738415E-2</v>
      </c>
    </row>
    <row r="138" spans="1:22" x14ac:dyDescent="0.2">
      <c r="O138" t="s">
        <v>862</v>
      </c>
      <c r="P138">
        <v>0.17111001251528976</v>
      </c>
      <c r="Q138" s="2" t="s">
        <v>863</v>
      </c>
      <c r="R138">
        <v>-1.1136954486547923</v>
      </c>
      <c r="S138">
        <v>6.0018116082720363E-7</v>
      </c>
      <c r="T138">
        <v>-1855598.8113986021</v>
      </c>
      <c r="U138">
        <v>-1.1136967006107557</v>
      </c>
      <c r="V138">
        <v>-1.113694196698829</v>
      </c>
    </row>
    <row r="139" spans="1:22" x14ac:dyDescent="0.2">
      <c r="A139" s="3" t="s">
        <v>864</v>
      </c>
      <c r="O139" t="s">
        <v>865</v>
      </c>
      <c r="P139">
        <v>253242.33484612688</v>
      </c>
      <c r="Q139" s="2" t="s">
        <v>866</v>
      </c>
      <c r="R139">
        <v>-1.3154143255757434E-3</v>
      </c>
      <c r="S139">
        <v>2.7480228463650732E-6</v>
      </c>
      <c r="T139">
        <v>-478.67663375349957</v>
      </c>
      <c r="U139">
        <v>-1.3211466007857977E-3</v>
      </c>
      <c r="V139">
        <v>-1.3096820503656894E-3</v>
      </c>
    </row>
    <row r="140" spans="1:22" x14ac:dyDescent="0.2">
      <c r="A140" t="s">
        <v>867</v>
      </c>
      <c r="E140" s="17">
        <v>6.8038499999999997</v>
      </c>
      <c r="F140" t="s">
        <v>868</v>
      </c>
      <c r="G140" s="10">
        <f>E140/0.45359</f>
        <v>15</v>
      </c>
      <c r="H140" t="s">
        <v>869</v>
      </c>
      <c r="I140" t="s">
        <v>870</v>
      </c>
      <c r="O140" t="s">
        <v>871</v>
      </c>
      <c r="P140" t="s">
        <v>872</v>
      </c>
      <c r="Q140" s="2" t="s">
        <v>873</v>
      </c>
      <c r="R140">
        <v>0.13947545251861668</v>
      </c>
      <c r="S140">
        <v>1.9985227093290123E-6</v>
      </c>
      <c r="T140">
        <v>69789.27578233245</v>
      </c>
      <c r="U140">
        <v>0.13947128367329628</v>
      </c>
      <c r="V140">
        <v>0.13947962136393707</v>
      </c>
    </row>
    <row r="141" spans="1:22" x14ac:dyDescent="0.2">
      <c r="E141" s="19">
        <f>E140*(E137*0.001)</f>
        <v>14.883421853682954</v>
      </c>
      <c r="F141" t="s">
        <v>874</v>
      </c>
      <c r="G141" s="19">
        <f>G140*(G137*0.001)</f>
        <v>32.812499953003716</v>
      </c>
      <c r="H141" t="s">
        <v>875</v>
      </c>
      <c r="O141" t="s">
        <v>876</v>
      </c>
      <c r="P141" t="s">
        <v>1096</v>
      </c>
      <c r="Q141" s="2" t="s">
        <v>877</v>
      </c>
      <c r="R141">
        <v>2.2555679105447939E-5</v>
      </c>
      <c r="S141">
        <v>6.5879046074793471E-7</v>
      </c>
      <c r="T141">
        <v>34.238017168372679</v>
      </c>
      <c r="U141">
        <v>2.1181466284851963E-5</v>
      </c>
      <c r="V141">
        <v>2.3929891926043911E-5</v>
      </c>
    </row>
    <row r="142" spans="1:22" x14ac:dyDescent="0.2">
      <c r="Q142" s="2" t="s">
        <v>878</v>
      </c>
      <c r="R142">
        <v>-7.5887149573464346E-3</v>
      </c>
      <c r="S142">
        <v>1.9085810562317547E-5</v>
      </c>
      <c r="T142">
        <v>-397.61030492094301</v>
      </c>
      <c r="U142">
        <v>-7.6285272605428498E-3</v>
      </c>
      <c r="V142">
        <v>-7.5489026541500194E-3</v>
      </c>
    </row>
    <row r="143" spans="1:22" x14ac:dyDescent="0.2">
      <c r="A143" s="3" t="s">
        <v>1150</v>
      </c>
      <c r="Q143" s="2" t="s">
        <v>879</v>
      </c>
      <c r="R143">
        <v>9.0100227568697605E-9</v>
      </c>
      <c r="S143">
        <v>2.0535155590418438E-9</v>
      </c>
      <c r="T143">
        <v>4.3876087118978413</v>
      </c>
      <c r="U143">
        <v>4.726464362103705E-9</v>
      </c>
      <c r="V143">
        <v>1.3293581151635817E-8</v>
      </c>
    </row>
    <row r="144" spans="1:22" x14ac:dyDescent="0.2">
      <c r="A144" t="s">
        <v>880</v>
      </c>
      <c r="E144" s="17">
        <v>10</v>
      </c>
      <c r="G144" s="10">
        <f>E144</f>
        <v>10</v>
      </c>
      <c r="I144" t="s">
        <v>881</v>
      </c>
      <c r="Q144" s="2" t="s">
        <v>882</v>
      </c>
      <c r="R144">
        <v>1.2967836582075207E-4</v>
      </c>
      <c r="S144">
        <v>3.20570851908624E-6</v>
      </c>
      <c r="T144">
        <v>40.452325920672223</v>
      </c>
      <c r="U144">
        <v>1.2299137502701682E-4</v>
      </c>
      <c r="V144">
        <v>1.3636535661448734E-4</v>
      </c>
    </row>
    <row r="145" spans="1:21" ht="14.25" x14ac:dyDescent="0.2">
      <c r="A145" t="s">
        <v>1220</v>
      </c>
      <c r="E145" s="17">
        <v>7.4009704651234269</v>
      </c>
      <c r="F145" t="s">
        <v>1099</v>
      </c>
      <c r="G145" s="10">
        <f>(E145/0.45359)*(2.54^2)/10^2</f>
        <v>1.0526709374719525</v>
      </c>
      <c r="H145" t="s">
        <v>1100</v>
      </c>
      <c r="I145" t="s">
        <v>1235</v>
      </c>
      <c r="O145" s="20"/>
      <c r="P145" s="21"/>
      <c r="Q145" s="21"/>
      <c r="R145" s="22"/>
      <c r="S145" s="22"/>
      <c r="T145" s="22"/>
      <c r="U145" s="22"/>
    </row>
    <row r="146" spans="1:21" ht="14.25" x14ac:dyDescent="0.2">
      <c r="A146" t="s">
        <v>1221</v>
      </c>
      <c r="E146" s="19">
        <f>E141/E145</f>
        <v>2.011009491771393</v>
      </c>
      <c r="F146" t="s">
        <v>1101</v>
      </c>
      <c r="G146" s="23">
        <f>E146*1000/(2.54^3)</f>
        <v>122.71932859793512</v>
      </c>
      <c r="H146" t="s">
        <v>1102</v>
      </c>
      <c r="O146" s="21"/>
      <c r="P146" s="21"/>
      <c r="Q146" s="21"/>
      <c r="R146" s="21"/>
      <c r="S146" s="22"/>
      <c r="T146" s="22"/>
      <c r="U146" s="22"/>
    </row>
    <row r="147" spans="1:21" x14ac:dyDescent="0.2">
      <c r="A147" t="s">
        <v>885</v>
      </c>
      <c r="E147" s="23">
        <f>10*(4*E146/(E144*PI()))^(1/3)</f>
        <v>6.3500149293972674</v>
      </c>
      <c r="F147" t="s">
        <v>834</v>
      </c>
      <c r="G147" s="23">
        <f>E147/2.54</f>
        <v>2.5000058777154597</v>
      </c>
      <c r="H147" t="s">
        <v>835</v>
      </c>
      <c r="O147" s="21"/>
      <c r="P147" s="21"/>
      <c r="Q147" s="21"/>
      <c r="R147" s="21"/>
      <c r="S147" s="24"/>
      <c r="T147" s="24"/>
      <c r="U147" s="24"/>
    </row>
    <row r="148" spans="1:21" x14ac:dyDescent="0.2">
      <c r="A148" t="s">
        <v>886</v>
      </c>
      <c r="E148" s="23">
        <f>E144*E147</f>
        <v>63.500149293972676</v>
      </c>
      <c r="F148" t="s">
        <v>834</v>
      </c>
      <c r="G148" s="23">
        <f>E148/2.54</f>
        <v>25.000058777154596</v>
      </c>
      <c r="H148" t="s">
        <v>835</v>
      </c>
      <c r="O148" s="25"/>
      <c r="P148" s="21"/>
      <c r="Q148" s="25"/>
      <c r="R148" s="26"/>
      <c r="S148" s="24"/>
      <c r="T148" s="24"/>
      <c r="U148" s="24"/>
    </row>
    <row r="149" spans="1:21" ht="14.25" x14ac:dyDescent="0.2">
      <c r="A149" t="s">
        <v>887</v>
      </c>
      <c r="E149" s="23">
        <f>E147*E147*PI()/4</f>
        <v>31.669366357887835</v>
      </c>
      <c r="F149" t="s">
        <v>1103</v>
      </c>
      <c r="G149" s="23">
        <f>G147*G147*PI()/4</f>
        <v>4.9087616029958205</v>
      </c>
      <c r="H149" t="s">
        <v>1104</v>
      </c>
    </row>
    <row r="150" spans="1:21" ht="14.25" x14ac:dyDescent="0.2">
      <c r="A150" s="3" t="s">
        <v>1151</v>
      </c>
      <c r="E150" s="23">
        <f>0.9*E149</f>
        <v>28.502429722099052</v>
      </c>
      <c r="F150" t="s">
        <v>1103</v>
      </c>
      <c r="G150" s="23">
        <f>0.9*G149</f>
        <v>4.4178854426962388</v>
      </c>
      <c r="H150" t="s">
        <v>1104</v>
      </c>
      <c r="I150" t="s">
        <v>1222</v>
      </c>
    </row>
    <row r="151" spans="1:21" x14ac:dyDescent="0.2">
      <c r="A151" s="3" t="s">
        <v>1223</v>
      </c>
      <c r="E151" s="27"/>
      <c r="F151" s="18"/>
      <c r="G151" s="27"/>
    </row>
    <row r="152" spans="1:21" x14ac:dyDescent="0.2">
      <c r="A152" s="157" t="s">
        <v>954</v>
      </c>
      <c r="B152" s="148"/>
      <c r="C152" s="148"/>
      <c r="D152" s="148"/>
      <c r="E152" s="149">
        <v>6.3500149293972674</v>
      </c>
      <c r="F152" s="150" t="s">
        <v>834</v>
      </c>
      <c r="G152" s="158">
        <f>E152/2.54</f>
        <v>2.5000058777154597</v>
      </c>
      <c r="H152" s="131" t="s">
        <v>835</v>
      </c>
      <c r="I152" s="27"/>
    </row>
    <row r="153" spans="1:21" x14ac:dyDescent="0.2">
      <c r="A153" s="146" t="s">
        <v>1125</v>
      </c>
      <c r="B153" s="25"/>
      <c r="C153" s="25"/>
      <c r="D153" s="25"/>
      <c r="E153" s="152">
        <v>6.3500149293972674</v>
      </c>
      <c r="F153" s="79" t="s">
        <v>834</v>
      </c>
      <c r="G153" s="159">
        <f>E153/2.54</f>
        <v>2.5000058777154597</v>
      </c>
      <c r="H153" s="133" t="s">
        <v>835</v>
      </c>
      <c r="I153" t="s">
        <v>1215</v>
      </c>
    </row>
    <row r="154" spans="1:21" x14ac:dyDescent="0.2">
      <c r="A154" s="146" t="s">
        <v>1214</v>
      </c>
      <c r="B154" s="25"/>
      <c r="C154" s="25"/>
      <c r="D154" s="25"/>
      <c r="E154" s="152">
        <v>64</v>
      </c>
      <c r="F154" s="79" t="s">
        <v>834</v>
      </c>
      <c r="G154" s="159">
        <f>E154/2.54</f>
        <v>25.196850393700785</v>
      </c>
      <c r="H154" s="133" t="s">
        <v>835</v>
      </c>
    </row>
    <row r="155" spans="1:21" x14ac:dyDescent="0.2">
      <c r="A155" s="141" t="s">
        <v>1232</v>
      </c>
      <c r="B155" s="142"/>
      <c r="C155" s="142"/>
      <c r="D155" s="142"/>
      <c r="E155" s="154">
        <f>(E153-E152)/2</f>
        <v>0</v>
      </c>
      <c r="F155" s="155" t="s">
        <v>834</v>
      </c>
      <c r="G155" s="156">
        <f>E155/2.54</f>
        <v>0</v>
      </c>
      <c r="H155" s="135" t="s">
        <v>835</v>
      </c>
    </row>
    <row r="156" spans="1:21" x14ac:dyDescent="0.2">
      <c r="A156" s="25"/>
      <c r="B156" s="25"/>
      <c r="C156" s="25"/>
      <c r="D156" s="25"/>
      <c r="E156" s="79"/>
      <c r="F156" s="79"/>
      <c r="G156" s="209"/>
      <c r="H156" s="25"/>
    </row>
    <row r="157" spans="1:21" x14ac:dyDescent="0.2">
      <c r="A157" s="3" t="s">
        <v>49</v>
      </c>
      <c r="E157" s="27"/>
      <c r="F157" s="18"/>
      <c r="G157" s="27"/>
    </row>
    <row r="158" spans="1:21" x14ac:dyDescent="0.2">
      <c r="A158" t="s">
        <v>889</v>
      </c>
      <c r="E158" s="23">
        <f>E148-E147</f>
        <v>57.150134364575408</v>
      </c>
      <c r="F158" t="s">
        <v>834</v>
      </c>
      <c r="G158" s="23">
        <f>G148-G147</f>
        <v>22.500052899439137</v>
      </c>
      <c r="H158" t="s">
        <v>835</v>
      </c>
    </row>
    <row r="159" spans="1:21" x14ac:dyDescent="0.2">
      <c r="E159" s="27"/>
      <c r="F159" s="18"/>
      <c r="G159" s="27"/>
    </row>
    <row r="160" spans="1:21" x14ac:dyDescent="0.2">
      <c r="A160" s="122" t="s">
        <v>890</v>
      </c>
      <c r="B160" s="87"/>
      <c r="C160" s="87"/>
      <c r="D160" s="87"/>
      <c r="E160" s="124"/>
      <c r="F160" s="87"/>
      <c r="G160" s="124"/>
      <c r="H160" s="87"/>
      <c r="I160" s="87"/>
      <c r="J160" s="87"/>
      <c r="K160" s="87"/>
      <c r="L160" s="87"/>
      <c r="M160" s="87"/>
      <c r="P160" t="s">
        <v>1190</v>
      </c>
    </row>
    <row r="161" spans="1:19" x14ac:dyDescent="0.2">
      <c r="A161" t="s">
        <v>891</v>
      </c>
      <c r="E161" s="28">
        <v>220</v>
      </c>
      <c r="F161" s="18" t="s">
        <v>837</v>
      </c>
      <c r="G161" s="29">
        <f>E161</f>
        <v>220</v>
      </c>
      <c r="H161" t="s">
        <v>837</v>
      </c>
      <c r="P161" t="s">
        <v>1191</v>
      </c>
    </row>
    <row r="162" spans="1:19" x14ac:dyDescent="0.2">
      <c r="A162" t="s">
        <v>892</v>
      </c>
      <c r="E162" s="28">
        <v>50</v>
      </c>
      <c r="F162" s="18" t="s">
        <v>893</v>
      </c>
      <c r="G162" s="29">
        <f>E162</f>
        <v>50</v>
      </c>
      <c r="H162" t="s">
        <v>893</v>
      </c>
      <c r="I162" t="s">
        <v>1175</v>
      </c>
      <c r="P162" t="s">
        <v>1010</v>
      </c>
      <c r="R162" t="s">
        <v>852</v>
      </c>
      <c r="S162">
        <v>7909</v>
      </c>
    </row>
    <row r="163" spans="1:19" x14ac:dyDescent="0.2">
      <c r="A163" s="30" t="s">
        <v>894</v>
      </c>
      <c r="E163" s="28">
        <v>10</v>
      </c>
      <c r="F163" s="18" t="s">
        <v>895</v>
      </c>
      <c r="G163" s="29">
        <f>E163</f>
        <v>10</v>
      </c>
      <c r="H163" t="s">
        <v>895</v>
      </c>
      <c r="I163" t="s">
        <v>896</v>
      </c>
      <c r="P163" t="s">
        <v>1182</v>
      </c>
    </row>
    <row r="164" spans="1:19" x14ac:dyDescent="0.2">
      <c r="A164" t="s">
        <v>897</v>
      </c>
      <c r="E164" s="29">
        <f>E161/(PI()*E162*E163)</f>
        <v>0.14005634992086788</v>
      </c>
      <c r="F164" s="18" t="s">
        <v>898</v>
      </c>
      <c r="G164" s="29">
        <f>G161/(PI()*G162*G163)</f>
        <v>0.14005634992086788</v>
      </c>
      <c r="H164" t="s">
        <v>898</v>
      </c>
      <c r="P164" s="130" t="s">
        <v>844</v>
      </c>
      <c r="Q164" s="131" t="s">
        <v>845</v>
      </c>
    </row>
    <row r="165" spans="1:19" x14ac:dyDescent="0.2">
      <c r="E165" s="31"/>
      <c r="F165" s="18"/>
      <c r="G165" s="31"/>
      <c r="P165" s="132" t="s">
        <v>850</v>
      </c>
      <c r="Q165" s="133">
        <v>8.103163113762352E-3</v>
      </c>
    </row>
    <row r="166" spans="1:19" x14ac:dyDescent="0.2">
      <c r="E166" s="31"/>
      <c r="F166" s="18"/>
      <c r="G166" s="31"/>
      <c r="P166" s="132" t="s">
        <v>853</v>
      </c>
      <c r="Q166" s="133">
        <v>-0.34462926854037529</v>
      </c>
    </row>
    <row r="167" spans="1:19" x14ac:dyDescent="0.2">
      <c r="A167" t="s">
        <v>1174</v>
      </c>
      <c r="E167" s="32">
        <f xml:space="preserve"> ($Q$165+$Q$167*E144+$Q$169*E144*E144+$Q$171*E144*E144*E144+$Q$173*E144^4+$Q$175*E144^5)/(1+$Q$166*E144+$Q$168*E144*E144+$Q$170*E144*E144*E144+$Q$172*E144^4+$Q$174*E144^5)</f>
        <v>209.71480529698408</v>
      </c>
      <c r="F167" s="33"/>
      <c r="G167" s="32">
        <f xml:space="preserve"> ($Q$165+$Q$167*G144+$Q$169*G144*G144+$Q$171*G144*G144*G144+$Q$173*G144^4+$Q$175*G144^5)/(1+$Q$166*G144+$Q$168*G144*G144+$Q$170*G144*G144*G144+$Q$172*G144^4+$Q$174*G144^5)</f>
        <v>209.71480529698408</v>
      </c>
      <c r="P167" s="132" t="s">
        <v>858</v>
      </c>
      <c r="Q167" s="133">
        <v>6.6646780511440982</v>
      </c>
    </row>
    <row r="168" spans="1:19" x14ac:dyDescent="0.2">
      <c r="A168" t="s">
        <v>900</v>
      </c>
      <c r="E168" s="16">
        <f>10000*SQRT(E164*E148/(0.9*(E149/2.54)*E167))</f>
        <v>614.75227676620921</v>
      </c>
      <c r="F168" t="s">
        <v>913</v>
      </c>
      <c r="G168" s="16">
        <f>10000*SQRT((G164*G148)/(0.9*G149*G167))</f>
        <v>614.75227676620921</v>
      </c>
      <c r="H168" t="s">
        <v>913</v>
      </c>
      <c r="P168" s="132" t="s">
        <v>861</v>
      </c>
      <c r="Q168" s="133">
        <v>5.1350947397014741E-2</v>
      </c>
    </row>
    <row r="169" spans="1:19" ht="14.25" x14ac:dyDescent="0.2">
      <c r="A169" t="s">
        <v>901</v>
      </c>
      <c r="E169" s="28">
        <v>3.1000062000124</v>
      </c>
      <c r="F169" s="18" t="s">
        <v>1105</v>
      </c>
      <c r="G169" s="29">
        <f>E169*(25.4)^2</f>
        <v>2000</v>
      </c>
      <c r="H169" t="s">
        <v>1106</v>
      </c>
      <c r="P169" s="132" t="s">
        <v>863</v>
      </c>
      <c r="Q169" s="133">
        <v>-2.0595087169572923</v>
      </c>
    </row>
    <row r="170" spans="1:19" ht="14.25" x14ac:dyDescent="0.2">
      <c r="A170" t="s">
        <v>1224</v>
      </c>
      <c r="E170" s="29">
        <f>E163/E169</f>
        <v>3.2258</v>
      </c>
      <c r="F170" t="s">
        <v>1107</v>
      </c>
      <c r="G170" s="29">
        <f>G163/G169</f>
        <v>5.0000000000000001E-3</v>
      </c>
      <c r="H170" t="s">
        <v>1104</v>
      </c>
      <c r="P170" s="132" t="s">
        <v>866</v>
      </c>
      <c r="Q170" s="133">
        <v>-4.0299264697933367E-3</v>
      </c>
      <c r="R170" t="s">
        <v>1195</v>
      </c>
    </row>
    <row r="171" spans="1:19" x14ac:dyDescent="0.2">
      <c r="A171" t="s">
        <v>1225</v>
      </c>
      <c r="E171" s="29">
        <f>SQRT(4*E170/PI())</f>
        <v>2.0266267844392778</v>
      </c>
      <c r="F171" s="18" t="s">
        <v>904</v>
      </c>
      <c r="G171" s="29">
        <f>SQRT(4*G170/PI())</f>
        <v>7.9788456080286535E-2</v>
      </c>
      <c r="H171" t="s">
        <v>835</v>
      </c>
      <c r="N171" s="18"/>
      <c r="P171" s="132" t="s">
        <v>873</v>
      </c>
      <c r="Q171" s="133">
        <v>0.34222426119485005</v>
      </c>
    </row>
    <row r="172" spans="1:19" x14ac:dyDescent="0.2">
      <c r="A172" t="s">
        <v>1226</v>
      </c>
      <c r="E172" s="28">
        <v>2.0266267844392778</v>
      </c>
      <c r="F172" s="18" t="s">
        <v>904</v>
      </c>
      <c r="G172" s="29">
        <f>E172/25.4</f>
        <v>7.9788456080286535E-2</v>
      </c>
      <c r="H172" t="s">
        <v>1186</v>
      </c>
      <c r="I172" s="121">
        <f>18.2054244290934-8.62881347370181*LN(E172)</f>
        <v>12.110265912943213</v>
      </c>
      <c r="J172" t="s">
        <v>1181</v>
      </c>
      <c r="K172" s="126">
        <f>($Q$184+$Q$186*SQRT(E172)+$Q$188*E172+$Q$202*E172*SQRT(E172)+$Q$204*E172*E172+$Q$206*E172*E172*SQRT(E172))/(1+$Q$183*SQRT(E172)+$Q$187*E172+$Q$189*E172*SQRT(E172)+$Q$203*E172*E172+$Q$205*E172*E172*SQRT(E172))</f>
        <v>14.114295527739788</v>
      </c>
      <c r="L172" t="s">
        <v>1194</v>
      </c>
      <c r="N172" s="18"/>
      <c r="P172" s="132" t="s">
        <v>877</v>
      </c>
      <c r="Q172" s="133">
        <v>1.6091340444311558E-4</v>
      </c>
    </row>
    <row r="173" spans="1:19" x14ac:dyDescent="0.2">
      <c r="A173" t="s">
        <v>1227</v>
      </c>
      <c r="E173" s="28">
        <v>2.3875999999999999</v>
      </c>
      <c r="F173" s="18" t="s">
        <v>904</v>
      </c>
      <c r="G173" s="29">
        <f>E173/25.4</f>
        <v>9.4E-2</v>
      </c>
      <c r="H173" t="s">
        <v>835</v>
      </c>
      <c r="I173" t="s">
        <v>907</v>
      </c>
      <c r="P173" s="132" t="s">
        <v>878</v>
      </c>
      <c r="Q173" s="133">
        <v>-3.2967531556915383E-2</v>
      </c>
    </row>
    <row r="174" spans="1:19" x14ac:dyDescent="0.2">
      <c r="A174" t="s">
        <v>908</v>
      </c>
      <c r="E174" s="29">
        <f>10/E173</f>
        <v>4.1883062489529239</v>
      </c>
      <c r="F174" s="18" t="s">
        <v>909</v>
      </c>
      <c r="G174" s="29">
        <f>1/G173</f>
        <v>10.638297872340425</v>
      </c>
      <c r="H174" t="s">
        <v>910</v>
      </c>
      <c r="P174" s="132" t="s">
        <v>879</v>
      </c>
      <c r="Q174" s="133">
        <v>-1.7204994913897629E-6</v>
      </c>
    </row>
    <row r="175" spans="1:19" x14ac:dyDescent="0.2">
      <c r="A175" t="s">
        <v>911</v>
      </c>
      <c r="E175" s="29">
        <f>G175/2.54</f>
        <v>4.1732283464566926</v>
      </c>
      <c r="F175" s="18" t="s">
        <v>909</v>
      </c>
      <c r="G175" s="28">
        <v>10.6</v>
      </c>
      <c r="H175" t="s">
        <v>910</v>
      </c>
      <c r="I175" t="s">
        <v>907</v>
      </c>
      <c r="P175" s="134" t="s">
        <v>882</v>
      </c>
      <c r="Q175" s="135">
        <v>1.4687120796037577E-3</v>
      </c>
    </row>
    <row r="176" spans="1:19" x14ac:dyDescent="0.2">
      <c r="A176" t="s">
        <v>912</v>
      </c>
      <c r="C176" s="16">
        <f>E168</f>
        <v>614.75227676620921</v>
      </c>
      <c r="D176" t="s">
        <v>913</v>
      </c>
      <c r="E176" s="29">
        <f>E168/E175</f>
        <v>147.30856443265768</v>
      </c>
      <c r="F176" s="18" t="s">
        <v>834</v>
      </c>
      <c r="G176" s="29">
        <f>G168/G175</f>
        <v>57.995497808132946</v>
      </c>
      <c r="H176" t="s">
        <v>835</v>
      </c>
    </row>
    <row r="177" spans="1:18" x14ac:dyDescent="0.2">
      <c r="P177" t="s">
        <v>1184</v>
      </c>
    </row>
    <row r="178" spans="1:18" x14ac:dyDescent="0.2">
      <c r="A178" t="s">
        <v>914</v>
      </c>
      <c r="E178" s="29">
        <f>E176/E158</f>
        <v>2.57757162026844</v>
      </c>
      <c r="F178" s="18"/>
      <c r="G178" s="29">
        <f>G176/G158</f>
        <v>2.57757162026844</v>
      </c>
      <c r="P178" t="s">
        <v>1185</v>
      </c>
    </row>
    <row r="179" spans="1:18" x14ac:dyDescent="0.2">
      <c r="A179" t="s">
        <v>915</v>
      </c>
      <c r="E179" s="28">
        <v>3</v>
      </c>
      <c r="F179" s="18"/>
      <c r="G179" s="29">
        <f>E179</f>
        <v>3</v>
      </c>
      <c r="I179" t="s">
        <v>916</v>
      </c>
      <c r="K179" s="79"/>
      <c r="L179" s="127"/>
      <c r="M179" s="79"/>
      <c r="N179" s="128"/>
      <c r="P179" s="125" t="s">
        <v>1192</v>
      </c>
    </row>
    <row r="180" spans="1:18" x14ac:dyDescent="0.2">
      <c r="A180" t="s">
        <v>917</v>
      </c>
      <c r="E180" s="28">
        <v>54.314465408805084</v>
      </c>
      <c r="F180" s="18" t="s">
        <v>834</v>
      </c>
      <c r="G180" s="29">
        <f>E180/2.54</f>
        <v>21.38364779874216</v>
      </c>
      <c r="H180" t="s">
        <v>835</v>
      </c>
      <c r="K180" s="127"/>
      <c r="L180" s="127"/>
      <c r="M180" s="129"/>
      <c r="N180" s="128"/>
      <c r="P180" t="s">
        <v>1193</v>
      </c>
    </row>
    <row r="181" spans="1:18" x14ac:dyDescent="0.2">
      <c r="A181" t="s">
        <v>918</v>
      </c>
      <c r="E181" s="29">
        <f>E179*E180*E175</f>
        <v>680.00000000000057</v>
      </c>
      <c r="F181" t="s">
        <v>913</v>
      </c>
      <c r="G181" s="29">
        <f>G179*G180*G175</f>
        <v>680.00000000000068</v>
      </c>
      <c r="H181" t="s">
        <v>913</v>
      </c>
      <c r="K181" s="127"/>
      <c r="L181" s="127"/>
      <c r="M181" s="129"/>
      <c r="N181" s="128"/>
      <c r="P181" t="s">
        <v>1183</v>
      </c>
    </row>
    <row r="182" spans="1:18" x14ac:dyDescent="0.2">
      <c r="E182" s="31"/>
      <c r="F182" s="18"/>
      <c r="G182" s="31"/>
      <c r="K182" s="127"/>
      <c r="L182" s="127"/>
      <c r="M182" s="129"/>
      <c r="N182" s="128"/>
      <c r="P182" s="130" t="s">
        <v>844</v>
      </c>
      <c r="Q182" s="131" t="s">
        <v>845</v>
      </c>
    </row>
    <row r="183" spans="1:18" x14ac:dyDescent="0.2">
      <c r="A183" s="147" t="s">
        <v>73</v>
      </c>
      <c r="E183" s="28">
        <v>2.3622000000000001</v>
      </c>
      <c r="F183" s="18" t="s">
        <v>904</v>
      </c>
      <c r="G183" s="29">
        <f>E183/25.4</f>
        <v>9.3000000000000013E-2</v>
      </c>
      <c r="H183" t="s">
        <v>835</v>
      </c>
      <c r="I183" s="30" t="s">
        <v>74</v>
      </c>
      <c r="K183" s="127"/>
      <c r="L183" s="127"/>
      <c r="M183" s="129"/>
      <c r="N183" s="128"/>
      <c r="P183" s="132" t="s">
        <v>853</v>
      </c>
      <c r="Q183" s="133">
        <v>-6.7817047817110376</v>
      </c>
    </row>
    <row r="184" spans="1:18" x14ac:dyDescent="0.2">
      <c r="A184" t="s">
        <v>1233</v>
      </c>
      <c r="E184" s="28">
        <v>6.35</v>
      </c>
      <c r="F184" s="18" t="s">
        <v>904</v>
      </c>
      <c r="G184" s="29">
        <f>E184/25.4</f>
        <v>0.25</v>
      </c>
      <c r="H184" t="s">
        <v>835</v>
      </c>
      <c r="I184" t="s">
        <v>75</v>
      </c>
      <c r="K184" s="127"/>
      <c r="L184" s="127"/>
      <c r="M184" s="129"/>
      <c r="N184" s="128"/>
      <c r="P184" s="132" t="s">
        <v>850</v>
      </c>
      <c r="Q184" s="133">
        <v>48.499456691926625</v>
      </c>
    </row>
    <row r="185" spans="1:18" x14ac:dyDescent="0.2">
      <c r="A185" t="s">
        <v>102</v>
      </c>
      <c r="E185" s="29">
        <f>E179*E173</f>
        <v>7.1627999999999998</v>
      </c>
      <c r="F185" s="18" t="s">
        <v>904</v>
      </c>
      <c r="G185" s="29">
        <f>G179*G173</f>
        <v>0.28200000000000003</v>
      </c>
      <c r="H185" t="s">
        <v>835</v>
      </c>
    </row>
    <row r="186" spans="1:18" x14ac:dyDescent="0.2">
      <c r="A186" t="s">
        <v>92</v>
      </c>
      <c r="E186" s="29">
        <f>10*E153+2*(E183+E185)</f>
        <v>82.55014929397268</v>
      </c>
      <c r="F186" s="18" t="s">
        <v>904</v>
      </c>
      <c r="G186" s="29">
        <f>G147+2*(G183+G185)</f>
        <v>3.2500058777154597</v>
      </c>
      <c r="H186" t="s">
        <v>835</v>
      </c>
      <c r="I186" t="s">
        <v>1234</v>
      </c>
      <c r="K186" s="127"/>
      <c r="L186" s="127"/>
      <c r="M186" s="129"/>
      <c r="N186" s="128"/>
      <c r="P186" s="132" t="s">
        <v>858</v>
      </c>
      <c r="Q186" s="133">
        <v>-302.28512719754991</v>
      </c>
    </row>
    <row r="187" spans="1:18" x14ac:dyDescent="0.2">
      <c r="A187" t="s">
        <v>1229</v>
      </c>
      <c r="E187" s="29">
        <f>E186+2*E184</f>
        <v>95.250149293972683</v>
      </c>
      <c r="F187" s="18" t="s">
        <v>904</v>
      </c>
      <c r="G187" s="29">
        <f>E187/25.4</f>
        <v>3.7500058777154601</v>
      </c>
      <c r="H187" t="s">
        <v>835</v>
      </c>
      <c r="K187" s="127"/>
      <c r="L187" s="127"/>
      <c r="M187" s="129"/>
      <c r="N187" s="128"/>
      <c r="P187" s="132" t="s">
        <v>861</v>
      </c>
      <c r="Q187" s="133">
        <v>23.262370231416252</v>
      </c>
    </row>
    <row r="188" spans="1:18" x14ac:dyDescent="0.2">
      <c r="A188" t="s">
        <v>1217</v>
      </c>
      <c r="E188" s="16">
        <f>10*E148</f>
        <v>635.00149293972675</v>
      </c>
      <c r="F188" s="18" t="s">
        <v>904</v>
      </c>
      <c r="G188" s="16">
        <f>G148</f>
        <v>25.000058777154596</v>
      </c>
      <c r="H188" t="s">
        <v>835</v>
      </c>
      <c r="I188" t="s">
        <v>921</v>
      </c>
      <c r="K188" s="127"/>
      <c r="L188" s="127"/>
      <c r="M188" s="129"/>
      <c r="N188" s="128"/>
      <c r="P188" s="132" t="s">
        <v>863</v>
      </c>
      <c r="Q188" s="133">
        <v>901.98895838110639</v>
      </c>
    </row>
    <row r="189" spans="1:18" x14ac:dyDescent="0.2">
      <c r="M189" s="129"/>
      <c r="N189" s="128"/>
      <c r="P189" s="132" t="s">
        <v>866</v>
      </c>
      <c r="Q189" s="133">
        <v>-43.445806766984532</v>
      </c>
      <c r="R189" t="s">
        <v>1195</v>
      </c>
    </row>
    <row r="190" spans="1:18" x14ac:dyDescent="0.2">
      <c r="A190" t="s">
        <v>1126</v>
      </c>
      <c r="E190" s="39">
        <f>PI()*(10*E153+E186)/2</f>
        <v>229.41527254924242</v>
      </c>
      <c r="F190" t="s">
        <v>904</v>
      </c>
      <c r="G190" s="10">
        <f>E190/25.4</f>
        <v>9.0320973444583625</v>
      </c>
      <c r="H190" t="s">
        <v>835</v>
      </c>
      <c r="M190" s="129"/>
      <c r="N190" s="128"/>
      <c r="P190" s="132"/>
      <c r="Q190" s="133"/>
    </row>
    <row r="191" spans="1:18" x14ac:dyDescent="0.2">
      <c r="A191" t="s">
        <v>1127</v>
      </c>
      <c r="E191" s="16">
        <f>E190*E181/1000</f>
        <v>156.00238533348497</v>
      </c>
      <c r="F191" t="s">
        <v>980</v>
      </c>
      <c r="G191" s="10">
        <f>E191/0.3048</f>
        <v>511.81884951930761</v>
      </c>
      <c r="H191" t="s">
        <v>1064</v>
      </c>
      <c r="P191" s="132"/>
      <c r="Q191" s="133"/>
    </row>
    <row r="192" spans="1:18" x14ac:dyDescent="0.2">
      <c r="A192" t="s">
        <v>119</v>
      </c>
      <c r="E192" s="225">
        <f>E191*0.01786/(E172^2*PI()/4)</f>
        <v>0.86372453408644134</v>
      </c>
      <c r="F192" t="s">
        <v>965</v>
      </c>
      <c r="G192" s="225">
        <f>E192</f>
        <v>0.86372453408644134</v>
      </c>
      <c r="H192" t="s">
        <v>965</v>
      </c>
      <c r="I192" t="s">
        <v>113</v>
      </c>
      <c r="M192" s="41"/>
      <c r="P192" s="132"/>
      <c r="Q192" s="133"/>
    </row>
    <row r="193" spans="1:17" x14ac:dyDescent="0.2">
      <c r="A193" t="s">
        <v>114</v>
      </c>
      <c r="C193">
        <f>E181</f>
        <v>680.00000000000057</v>
      </c>
      <c r="D193" t="s">
        <v>913</v>
      </c>
      <c r="E193" s="225">
        <f>0.00000001*E181*E181*E149*E167/(2.54*E148)</f>
        <v>0.19040477174961157</v>
      </c>
      <c r="F193" t="s">
        <v>898</v>
      </c>
      <c r="G193" s="225">
        <f>0.00000001*G181*G181*G149*G167/G148</f>
        <v>0.1904047717496116</v>
      </c>
      <c r="H193" t="s">
        <v>898</v>
      </c>
      <c r="M193" s="41"/>
      <c r="P193" s="132"/>
      <c r="Q193" s="133"/>
    </row>
    <row r="194" spans="1:17" x14ac:dyDescent="0.2">
      <c r="A194" t="s">
        <v>93</v>
      </c>
      <c r="E194" s="19">
        <f>10*E191*(0.01*E173)^2*PI()*8.93/4</f>
        <v>6.2372868802092745</v>
      </c>
      <c r="F194" t="s">
        <v>874</v>
      </c>
      <c r="G194" s="10">
        <f>E194/0.45359</f>
        <v>13.750935603098116</v>
      </c>
      <c r="H194" t="s">
        <v>94</v>
      </c>
      <c r="M194" s="129"/>
      <c r="N194" s="128"/>
      <c r="P194" s="132"/>
      <c r="Q194" s="133"/>
    </row>
    <row r="195" spans="1:17" x14ac:dyDescent="0.2">
      <c r="M195" s="129"/>
      <c r="N195" s="128"/>
      <c r="P195" s="132"/>
      <c r="Q195" s="133"/>
    </row>
    <row r="196" spans="1:17" x14ac:dyDescent="0.2">
      <c r="A196" s="3" t="s">
        <v>1228</v>
      </c>
      <c r="K196" s="127"/>
      <c r="L196" s="127"/>
      <c r="M196" s="129"/>
      <c r="N196" s="128"/>
      <c r="P196" s="132"/>
      <c r="Q196" s="133"/>
    </row>
    <row r="197" spans="1:17" x14ac:dyDescent="0.2">
      <c r="A197" s="130" t="s">
        <v>1230</v>
      </c>
      <c r="B197" s="148"/>
      <c r="C197" s="148"/>
      <c r="D197" s="148"/>
      <c r="E197" s="149">
        <v>82.55014929397268</v>
      </c>
      <c r="F197" s="150" t="s">
        <v>904</v>
      </c>
      <c r="G197" s="151">
        <f>E197/25.4</f>
        <v>3.2500058777154601</v>
      </c>
      <c r="H197" s="131" t="s">
        <v>835</v>
      </c>
      <c r="K197" s="127"/>
      <c r="L197" s="127"/>
      <c r="M197" s="129"/>
      <c r="N197" s="128"/>
      <c r="P197" s="132"/>
      <c r="Q197" s="133"/>
    </row>
    <row r="198" spans="1:17" x14ac:dyDescent="0.2">
      <c r="A198" s="144" t="s">
        <v>1231</v>
      </c>
      <c r="B198" s="25"/>
      <c r="C198" s="25"/>
      <c r="D198" s="25"/>
      <c r="E198" s="152">
        <v>95.250149293972683</v>
      </c>
      <c r="F198" s="79" t="s">
        <v>904</v>
      </c>
      <c r="G198" s="153">
        <f>E198/25.4</f>
        <v>3.7500058777154601</v>
      </c>
      <c r="H198" s="133" t="s">
        <v>835</v>
      </c>
      <c r="I198" t="s">
        <v>1219</v>
      </c>
      <c r="K198" s="127"/>
      <c r="L198" s="127"/>
      <c r="M198" s="129"/>
      <c r="N198" s="128"/>
      <c r="P198" s="132"/>
      <c r="Q198" s="133"/>
    </row>
    <row r="199" spans="1:17" x14ac:dyDescent="0.2">
      <c r="A199" s="144" t="s">
        <v>1218</v>
      </c>
      <c r="B199" s="25"/>
      <c r="C199" s="25"/>
      <c r="D199" s="25"/>
      <c r="E199" s="152">
        <v>640</v>
      </c>
      <c r="F199" s="79" t="s">
        <v>904</v>
      </c>
      <c r="G199" s="153">
        <f>E199/25.4</f>
        <v>25.196850393700789</v>
      </c>
      <c r="H199" s="133" t="s">
        <v>835</v>
      </c>
      <c r="K199" s="127"/>
      <c r="L199" s="127"/>
      <c r="M199" s="129"/>
      <c r="N199" s="128"/>
      <c r="P199" s="132"/>
      <c r="Q199" s="133"/>
    </row>
    <row r="200" spans="1:17" x14ac:dyDescent="0.2">
      <c r="A200" s="141" t="s">
        <v>1232</v>
      </c>
      <c r="B200" s="142"/>
      <c r="C200" s="142"/>
      <c r="D200" s="142"/>
      <c r="E200" s="154">
        <f>(E198-E197)/2</f>
        <v>6.3500000000000014</v>
      </c>
      <c r="F200" s="155" t="s">
        <v>904</v>
      </c>
      <c r="G200" s="156">
        <f>E200/25.4</f>
        <v>0.25000000000000006</v>
      </c>
      <c r="H200" s="135" t="s">
        <v>835</v>
      </c>
      <c r="K200" s="127"/>
      <c r="L200" s="127"/>
      <c r="M200" s="129"/>
      <c r="N200" s="128"/>
      <c r="P200" s="132"/>
      <c r="Q200" s="133"/>
    </row>
    <row r="201" spans="1:17" x14ac:dyDescent="0.2">
      <c r="E201" s="34"/>
      <c r="F201" s="18"/>
      <c r="G201" s="34"/>
      <c r="K201" s="127"/>
      <c r="L201" s="127"/>
      <c r="M201" s="129"/>
      <c r="N201" s="128"/>
      <c r="P201" s="132"/>
      <c r="Q201" s="133"/>
    </row>
    <row r="202" spans="1:17" x14ac:dyDescent="0.2">
      <c r="A202" s="122" t="s">
        <v>922</v>
      </c>
      <c r="B202" s="87"/>
      <c r="C202" s="87"/>
      <c r="D202" s="87"/>
      <c r="E202" s="123"/>
      <c r="F202" s="87"/>
      <c r="G202" s="123"/>
      <c r="H202" s="87"/>
      <c r="I202" s="87"/>
      <c r="J202" s="87"/>
      <c r="K202" s="87"/>
      <c r="L202" s="87"/>
      <c r="M202" s="87"/>
      <c r="N202" s="128"/>
      <c r="P202" s="132" t="s">
        <v>873</v>
      </c>
      <c r="Q202" s="133">
        <v>-1608.0731090483487</v>
      </c>
    </row>
    <row r="203" spans="1:17" x14ac:dyDescent="0.2">
      <c r="A203" s="3"/>
      <c r="E203" s="31"/>
      <c r="F203" s="18"/>
      <c r="G203" s="31"/>
      <c r="K203" s="127"/>
      <c r="L203" s="127"/>
      <c r="M203" s="129"/>
      <c r="N203" s="128"/>
      <c r="P203" s="132" t="s">
        <v>877</v>
      </c>
      <c r="Q203" s="133">
        <v>32.747527154612811</v>
      </c>
    </row>
    <row r="204" spans="1:17" x14ac:dyDescent="0.2">
      <c r="A204" s="36" t="s">
        <v>940</v>
      </c>
      <c r="E204" s="31"/>
      <c r="F204" s="18"/>
      <c r="G204" s="31"/>
      <c r="K204" s="127"/>
      <c r="L204" s="127"/>
      <c r="M204" s="129"/>
      <c r="N204" s="128"/>
      <c r="P204" s="132" t="s">
        <v>878</v>
      </c>
      <c r="Q204" s="133">
        <v>1473.6216622650322</v>
      </c>
    </row>
    <row r="205" spans="1:17" ht="15.75" x14ac:dyDescent="0.3">
      <c r="A205" s="37" t="s">
        <v>941</v>
      </c>
      <c r="E205" s="28">
        <v>220</v>
      </c>
      <c r="F205" s="18" t="s">
        <v>942</v>
      </c>
      <c r="G205" s="31"/>
      <c r="I205" s="37" t="s">
        <v>1110</v>
      </c>
      <c r="K205" s="127"/>
      <c r="L205" s="127"/>
      <c r="M205" s="129"/>
      <c r="N205" s="128"/>
      <c r="P205" s="132" t="s">
        <v>879</v>
      </c>
      <c r="Q205" s="133">
        <v>1.5143150437090254</v>
      </c>
    </row>
    <row r="206" spans="1:17" ht="15.75" x14ac:dyDescent="0.3">
      <c r="A206" s="37" t="s">
        <v>943</v>
      </c>
      <c r="E206" s="38">
        <f xml:space="preserve"> 1 / (SQRT(2)*PI() * E162* (E220 * E150) * 0.00000001)</f>
        <v>1.6982414019764671</v>
      </c>
      <c r="F206" t="s">
        <v>1111</v>
      </c>
      <c r="H206" s="117">
        <f>E150</f>
        <v>28.502429722099052</v>
      </c>
      <c r="I206" s="37" t="s">
        <v>1112</v>
      </c>
      <c r="K206" s="127"/>
      <c r="L206" s="127"/>
      <c r="M206" s="129"/>
      <c r="N206" s="128"/>
      <c r="P206" s="134" t="s">
        <v>882</v>
      </c>
      <c r="Q206" s="135">
        <v>-352.61428696897144</v>
      </c>
    </row>
    <row r="207" spans="1:17" ht="15.75" x14ac:dyDescent="0.3">
      <c r="A207" s="37" t="s">
        <v>944</v>
      </c>
      <c r="E207" s="16">
        <f>E205 / (SQRT(2)*PI() * E162* (E220 * E150) * 0.00000001)</f>
        <v>373.61310843482272</v>
      </c>
      <c r="F207" s="18" t="s">
        <v>913</v>
      </c>
      <c r="G207" s="31"/>
      <c r="H207" s="119" t="s">
        <v>1176</v>
      </c>
      <c r="I207" s="37" t="s">
        <v>1113</v>
      </c>
    </row>
    <row r="208" spans="1:17" ht="15.75" x14ac:dyDescent="0.3">
      <c r="A208" s="37" t="s">
        <v>945</v>
      </c>
      <c r="E208" s="29">
        <f>E137</f>
        <v>2187.499996866914</v>
      </c>
      <c r="F208" s="18" t="s">
        <v>843</v>
      </c>
      <c r="G208" s="29">
        <f>G137</f>
        <v>2187.499996866914</v>
      </c>
      <c r="H208" t="s">
        <v>843</v>
      </c>
      <c r="I208" s="37" t="s">
        <v>1114</v>
      </c>
      <c r="J208" s="37"/>
      <c r="K208" s="37"/>
      <c r="L208" s="37"/>
      <c r="M208" s="37" t="s">
        <v>946</v>
      </c>
    </row>
    <row r="209" spans="1:15" ht="15.75" x14ac:dyDescent="0.3">
      <c r="A209" s="37" t="s">
        <v>947</v>
      </c>
      <c r="E209" s="16">
        <f xml:space="preserve"> E208 / (SQRT(2)*PI() * E162* (E220 * E150) * E163* 0.00000001)</f>
        <v>371.49030615027851</v>
      </c>
      <c r="F209" s="18" t="s">
        <v>913</v>
      </c>
      <c r="G209" s="16">
        <f xml:space="preserve"> G208 / (SQRT(2)*PI() * G162* (G220 * G150) * G163* 0.00000001)</f>
        <v>371.49030615027846</v>
      </c>
      <c r="H209" s="18" t="s">
        <v>913</v>
      </c>
      <c r="I209" s="37" t="s">
        <v>1115</v>
      </c>
      <c r="J209" s="37"/>
      <c r="K209" s="37"/>
      <c r="L209" s="37"/>
      <c r="M209" s="37" t="s">
        <v>1116</v>
      </c>
    </row>
    <row r="210" spans="1:15" ht="15.75" x14ac:dyDescent="0.3">
      <c r="A210" s="37" t="s">
        <v>948</v>
      </c>
      <c r="E210" s="39">
        <f xml:space="preserve"> E208 / (SQRT(2)*PI() * E162 * E220  * (E168 * E163) * 0.00000001)</f>
        <v>17.223809888411594</v>
      </c>
      <c r="F210" t="s">
        <v>1103</v>
      </c>
      <c r="G210" s="23">
        <f xml:space="preserve"> G208 / (SQRT(2)*PI() * G162 * G220  * (G168 * G163) * 0.00000001)</f>
        <v>2.6696958720955406</v>
      </c>
      <c r="H210" t="s">
        <v>1104</v>
      </c>
      <c r="I210" s="37" t="s">
        <v>1117</v>
      </c>
      <c r="J210" s="37"/>
      <c r="K210" s="37"/>
      <c r="L210" s="37"/>
      <c r="M210" s="37" t="s">
        <v>949</v>
      </c>
      <c r="O210" s="118">
        <f>E168</f>
        <v>614.75227676620921</v>
      </c>
    </row>
    <row r="211" spans="1:15" ht="15.75" x14ac:dyDescent="0.3">
      <c r="A211" s="37" t="s">
        <v>948</v>
      </c>
      <c r="E211" s="39">
        <f>E208 / (SQRT(2)*PI() * E162 * E220  * (E209 * E163) * 0.00000001)</f>
        <v>28.502429722099055</v>
      </c>
      <c r="F211" t="s">
        <v>1103</v>
      </c>
      <c r="G211" s="23">
        <f>G208 / (SQRT(2)*PI() * G162 * G220  * (G209 * G163) * 0.00000001)</f>
        <v>4.4178854426962388</v>
      </c>
      <c r="H211" t="s">
        <v>1104</v>
      </c>
      <c r="I211" s="37" t="s">
        <v>1117</v>
      </c>
      <c r="J211" s="37"/>
      <c r="K211" s="37"/>
      <c r="L211" s="37"/>
      <c r="M211" s="37" t="s">
        <v>949</v>
      </c>
      <c r="O211" s="118">
        <f>E209</f>
        <v>371.49030615027851</v>
      </c>
    </row>
    <row r="213" spans="1:15" x14ac:dyDescent="0.2">
      <c r="E213" s="31"/>
      <c r="F213" s="18"/>
      <c r="G213" s="31"/>
    </row>
    <row r="214" spans="1:15" x14ac:dyDescent="0.2">
      <c r="A214" s="3" t="s">
        <v>923</v>
      </c>
      <c r="E214" s="27"/>
      <c r="F214" s="18"/>
      <c r="G214" s="27"/>
    </row>
    <row r="215" spans="1:15" x14ac:dyDescent="0.2">
      <c r="A215" t="s">
        <v>924</v>
      </c>
      <c r="E215" s="23">
        <f>0.8*E158</f>
        <v>45.720107491660329</v>
      </c>
      <c r="F215" t="s">
        <v>834</v>
      </c>
      <c r="G215" s="23">
        <f>0.8*G158</f>
        <v>18.000042319551309</v>
      </c>
      <c r="H215" t="s">
        <v>835</v>
      </c>
    </row>
    <row r="217" spans="1:15" x14ac:dyDescent="0.2">
      <c r="A217" s="122" t="s">
        <v>925</v>
      </c>
      <c r="B217" s="87"/>
      <c r="C217" s="87"/>
      <c r="D217" s="87"/>
      <c r="E217" s="123"/>
      <c r="F217" s="87"/>
      <c r="G217" s="123"/>
      <c r="H217" s="87"/>
      <c r="I217" s="87"/>
      <c r="J217" s="87"/>
      <c r="K217" s="87"/>
      <c r="L217" s="87"/>
      <c r="M217" s="87"/>
    </row>
    <row r="218" spans="1:15" x14ac:dyDescent="0.2">
      <c r="A218" t="s">
        <v>926</v>
      </c>
      <c r="E218" s="28">
        <v>100</v>
      </c>
      <c r="F218" s="18"/>
      <c r="G218" s="29">
        <f>E218</f>
        <v>100</v>
      </c>
      <c r="I218" t="s">
        <v>927</v>
      </c>
    </row>
    <row r="219" spans="1:15" ht="14.25" x14ac:dyDescent="0.2">
      <c r="A219" t="s">
        <v>928</v>
      </c>
      <c r="E219" s="16">
        <f>G219/2.54</f>
        <v>1968.5039370078739</v>
      </c>
      <c r="F219" t="s">
        <v>1189</v>
      </c>
      <c r="G219" s="28">
        <v>5000</v>
      </c>
      <c r="H219" t="s">
        <v>1188</v>
      </c>
      <c r="I219" t="s">
        <v>929</v>
      </c>
    </row>
    <row r="220" spans="1:15" ht="14.25" x14ac:dyDescent="0.2">
      <c r="A220" t="s">
        <v>930</v>
      </c>
      <c r="E220" s="16">
        <f>G220/(2.54*2.54)</f>
        <v>9300.0186000371996</v>
      </c>
      <c r="F220" s="18" t="s">
        <v>931</v>
      </c>
      <c r="G220" s="28">
        <v>60000</v>
      </c>
      <c r="H220" t="s">
        <v>1108</v>
      </c>
      <c r="I220" t="s">
        <v>932</v>
      </c>
    </row>
    <row r="221" spans="1:15" x14ac:dyDescent="0.2">
      <c r="A221" t="s">
        <v>1109</v>
      </c>
      <c r="E221" s="16">
        <f>E220*E150</f>
        <v>265073.12656177429</v>
      </c>
      <c r="F221" s="18" t="s">
        <v>933</v>
      </c>
      <c r="G221" s="16">
        <f>G220*G150</f>
        <v>265073.12656177435</v>
      </c>
      <c r="H221" t="s">
        <v>934</v>
      </c>
    </row>
    <row r="222" spans="1:15" x14ac:dyDescent="0.2">
      <c r="E222" s="31"/>
      <c r="F222" s="18"/>
      <c r="G222" s="31"/>
    </row>
    <row r="223" spans="1:15" x14ac:dyDescent="0.2">
      <c r="A223" t="s">
        <v>935</v>
      </c>
      <c r="E223" s="16">
        <f>E218*E168</f>
        <v>61475.227676620918</v>
      </c>
      <c r="F223" s="18" t="s">
        <v>913</v>
      </c>
      <c r="G223" s="16">
        <f>G218*G168</f>
        <v>61475.227676620918</v>
      </c>
      <c r="H223" s="18" t="s">
        <v>913</v>
      </c>
    </row>
    <row r="224" spans="1:15" x14ac:dyDescent="0.2">
      <c r="A224" t="s">
        <v>936</v>
      </c>
      <c r="E224" s="16">
        <f>E219*E130</f>
        <v>61117.222078574232</v>
      </c>
      <c r="F224" s="18" t="s">
        <v>913</v>
      </c>
      <c r="G224" s="16">
        <f>G219*G130</f>
        <v>61117.222078574232</v>
      </c>
      <c r="H224" s="18" t="s">
        <v>913</v>
      </c>
      <c r="I224" t="s">
        <v>937</v>
      </c>
    </row>
    <row r="225" spans="1:15" x14ac:dyDescent="0.2">
      <c r="E225" s="31"/>
      <c r="F225" s="18"/>
      <c r="G225" s="31"/>
    </row>
    <row r="226" spans="1:15" x14ac:dyDescent="0.2">
      <c r="A226" t="s">
        <v>938</v>
      </c>
      <c r="E226" s="29">
        <f>E131/E218</f>
        <v>1749.9999974935313</v>
      </c>
      <c r="F226" s="18" t="s">
        <v>837</v>
      </c>
      <c r="G226" s="29">
        <f>G131/G218</f>
        <v>1749.9999974935313</v>
      </c>
      <c r="H226" t="s">
        <v>837</v>
      </c>
      <c r="I226" t="s">
        <v>939</v>
      </c>
    </row>
    <row r="227" spans="1:15" x14ac:dyDescent="0.2">
      <c r="E227" s="31"/>
      <c r="F227" s="18"/>
      <c r="G227" s="31"/>
    </row>
    <row r="228" spans="1:15" x14ac:dyDescent="0.2">
      <c r="E228" s="31"/>
      <c r="F228" s="18"/>
      <c r="G228" s="31"/>
    </row>
    <row r="229" spans="1:15" x14ac:dyDescent="0.2">
      <c r="B229" s="40" t="s">
        <v>950</v>
      </c>
    </row>
    <row r="231" spans="1:15" x14ac:dyDescent="0.2">
      <c r="A231" t="s">
        <v>952</v>
      </c>
      <c r="E231" s="16">
        <f>E223</f>
        <v>61475.227676620918</v>
      </c>
      <c r="F231" t="s">
        <v>913</v>
      </c>
    </row>
    <row r="232" spans="1:15" x14ac:dyDescent="0.2">
      <c r="A232" t="s">
        <v>954</v>
      </c>
      <c r="E232" s="23">
        <f>E198</f>
        <v>95.250149293972683</v>
      </c>
      <c r="F232" t="s">
        <v>904</v>
      </c>
      <c r="G232" s="23">
        <f t="shared" ref="G232:G239" si="1">E232/25.4</f>
        <v>3.7500058777154601</v>
      </c>
      <c r="H232" t="s">
        <v>835</v>
      </c>
      <c r="K232" t="s">
        <v>962</v>
      </c>
      <c r="M232">
        <v>0.20319999999999999</v>
      </c>
      <c r="N232" t="s">
        <v>904</v>
      </c>
    </row>
    <row r="233" spans="1:15" x14ac:dyDescent="0.2">
      <c r="A233" t="s">
        <v>956</v>
      </c>
      <c r="E233" s="10">
        <f>E215*10</f>
        <v>457.20107491660326</v>
      </c>
      <c r="F233" t="s">
        <v>904</v>
      </c>
      <c r="G233" s="23">
        <f t="shared" si="1"/>
        <v>18.000042319551312</v>
      </c>
      <c r="H233" t="s">
        <v>835</v>
      </c>
      <c r="K233" s="25" t="s">
        <v>1227</v>
      </c>
      <c r="M233">
        <v>0.39623999999999998</v>
      </c>
      <c r="N233" t="s">
        <v>904</v>
      </c>
    </row>
    <row r="234" spans="1:15" x14ac:dyDescent="0.2">
      <c r="A234" t="s">
        <v>958</v>
      </c>
      <c r="E234" s="17">
        <v>457.20107491660326</v>
      </c>
      <c r="F234" t="s">
        <v>904</v>
      </c>
      <c r="G234" s="23">
        <f t="shared" si="1"/>
        <v>18.000042319551312</v>
      </c>
      <c r="H234" t="s">
        <v>835</v>
      </c>
    </row>
    <row r="235" spans="1:15" x14ac:dyDescent="0.2">
      <c r="A235" t="s">
        <v>960</v>
      </c>
      <c r="E235" s="10">
        <f>(E233+E234)/2</f>
        <v>457.20107491660326</v>
      </c>
      <c r="F235" t="s">
        <v>904</v>
      </c>
      <c r="G235" s="23">
        <f t="shared" si="1"/>
        <v>18.000042319551312</v>
      </c>
      <c r="H235" t="s">
        <v>835</v>
      </c>
      <c r="O235" s="18"/>
    </row>
    <row r="236" spans="1:15" x14ac:dyDescent="0.2">
      <c r="A236" t="s">
        <v>60</v>
      </c>
      <c r="E236" s="17">
        <v>0.19303999999999999</v>
      </c>
      <c r="F236" t="s">
        <v>904</v>
      </c>
      <c r="G236" s="29">
        <f t="shared" si="1"/>
        <v>7.6E-3</v>
      </c>
      <c r="H236" t="s">
        <v>1186</v>
      </c>
      <c r="I236" s="121">
        <f>18.2054244290934-8.62881347370181*LN(E236)</f>
        <v>32.398596073640562</v>
      </c>
      <c r="J236" t="s">
        <v>1181</v>
      </c>
      <c r="K236" s="126">
        <f>($Q$184+$Q$186*SQRT(E236)+$Q$188*E236+$Q$202*E236*SQRT(E236)+$Q$204*E236*E236+$Q$206*E236*E236*SQRT(E236))/(1+$Q$183*SQRT(E236)+$Q$187*E236+$Q$189*E236*SQRT(E236)+$Q$203*E236*E236+$Q$205*E236*E236*SQRT(E236))</f>
        <v>35.933948920367186</v>
      </c>
      <c r="L236" t="s">
        <v>1187</v>
      </c>
      <c r="O236" s="18"/>
    </row>
    <row r="237" spans="1:15" x14ac:dyDescent="0.2">
      <c r="A237" s="25" t="s">
        <v>1227</v>
      </c>
      <c r="E237" s="17">
        <v>0.39623999999999998</v>
      </c>
      <c r="F237" t="s">
        <v>904</v>
      </c>
      <c r="G237" s="29">
        <f t="shared" si="1"/>
        <v>1.5599999999999999E-2</v>
      </c>
      <c r="H237" t="s">
        <v>835</v>
      </c>
    </row>
    <row r="238" spans="1:15" x14ac:dyDescent="0.2">
      <c r="A238" t="s">
        <v>963</v>
      </c>
      <c r="E238" s="17">
        <v>0.2</v>
      </c>
      <c r="F238" t="s">
        <v>904</v>
      </c>
      <c r="G238" s="29">
        <f t="shared" si="1"/>
        <v>7.8740157480314977E-3</v>
      </c>
      <c r="H238" t="s">
        <v>835</v>
      </c>
    </row>
    <row r="239" spans="1:15" x14ac:dyDescent="0.2">
      <c r="A239" t="s">
        <v>91</v>
      </c>
      <c r="E239" s="17">
        <v>0.1</v>
      </c>
      <c r="F239" t="s">
        <v>904</v>
      </c>
      <c r="G239" s="29">
        <f t="shared" si="1"/>
        <v>3.9370078740157488E-3</v>
      </c>
      <c r="H239" t="s">
        <v>835</v>
      </c>
      <c r="I239" s="40" t="s">
        <v>951</v>
      </c>
    </row>
    <row r="240" spans="1:15" x14ac:dyDescent="0.2">
      <c r="A240" s="147" t="s">
        <v>131</v>
      </c>
      <c r="E240" s="23">
        <f>(E246-1)*(E238+E239)</f>
        <v>15.683521617284596</v>
      </c>
      <c r="F240" t="s">
        <v>904</v>
      </c>
    </row>
    <row r="241" spans="1:14" x14ac:dyDescent="0.2">
      <c r="A241" t="s">
        <v>967</v>
      </c>
      <c r="E241" s="16">
        <f>E233/E237</f>
        <v>1153.8488666379046</v>
      </c>
      <c r="F241" t="s">
        <v>913</v>
      </c>
      <c r="I241" t="s">
        <v>953</v>
      </c>
      <c r="M241" s="10">
        <f>E231</f>
        <v>61475.227676620918</v>
      </c>
      <c r="N241" t="s">
        <v>913</v>
      </c>
    </row>
    <row r="242" spans="1:14" x14ac:dyDescent="0.2">
      <c r="A242" t="s">
        <v>969</v>
      </c>
      <c r="E242" s="16">
        <f>E235/E237</f>
        <v>1153.8488666379046</v>
      </c>
      <c r="F242" t="s">
        <v>913</v>
      </c>
      <c r="I242" s="41" t="s">
        <v>955</v>
      </c>
      <c r="M242" s="23">
        <f>(E232+E247)/(2*25.4)</f>
        <v>5.1986104828097162</v>
      </c>
      <c r="N242" t="s">
        <v>835</v>
      </c>
    </row>
    <row r="243" spans="1:14" x14ac:dyDescent="0.2">
      <c r="A243" t="s">
        <v>972</v>
      </c>
      <c r="E243" s="16">
        <f>E234/E237</f>
        <v>1153.8488666379046</v>
      </c>
      <c r="F243" t="s">
        <v>913</v>
      </c>
      <c r="I243" s="41" t="s">
        <v>957</v>
      </c>
      <c r="M243" s="23">
        <f>E242*(E237)/25.4</f>
        <v>18.000042319551312</v>
      </c>
      <c r="N243" t="s">
        <v>835</v>
      </c>
    </row>
    <row r="244" spans="1:14" x14ac:dyDescent="0.2">
      <c r="A244" t="s">
        <v>973</v>
      </c>
      <c r="E244" s="10">
        <f>((E241-E243)/E246)</f>
        <v>0</v>
      </c>
      <c r="F244" t="s">
        <v>913</v>
      </c>
      <c r="I244" t="s">
        <v>959</v>
      </c>
      <c r="M244" s="23">
        <f>E246*(E236+E239+E238)/25.4</f>
        <v>1.0341883855887133</v>
      </c>
      <c r="N244" t="s">
        <v>835</v>
      </c>
    </row>
    <row r="245" spans="1:14" ht="15.75" x14ac:dyDescent="0.3">
      <c r="I245" t="s">
        <v>1118</v>
      </c>
      <c r="M245" s="39">
        <f>0.000001*(0.2*M242^2*M241^2)/(3*M242+9*M243+10*M244)</f>
        <v>108.69010808248466</v>
      </c>
      <c r="N245" t="s">
        <v>898</v>
      </c>
    </row>
    <row r="246" spans="1:14" x14ac:dyDescent="0.2">
      <c r="A246" t="s">
        <v>1124</v>
      </c>
      <c r="E246" s="39">
        <f>E231/E242</f>
        <v>53.278405390948642</v>
      </c>
      <c r="F246" s="30" t="s">
        <v>975</v>
      </c>
      <c r="I246" t="s">
        <v>1119</v>
      </c>
      <c r="M246" s="17">
        <v>30</v>
      </c>
    </row>
    <row r="247" spans="1:14" ht="15.75" x14ac:dyDescent="0.3">
      <c r="A247" t="s">
        <v>1125</v>
      </c>
      <c r="E247" s="39">
        <f>((E237+E238+E239)*E246-(E238+E239))*2+E232</f>
        <v>168.83926323276086</v>
      </c>
      <c r="F247" t="s">
        <v>904</v>
      </c>
      <c r="I247" t="s">
        <v>1120</v>
      </c>
      <c r="M247" s="39">
        <f>M245*M246</f>
        <v>3260.7032424745398</v>
      </c>
      <c r="N247" t="s">
        <v>898</v>
      </c>
    </row>
    <row r="248" spans="1:14" ht="15.75" x14ac:dyDescent="0.3">
      <c r="A248" t="s">
        <v>1140</v>
      </c>
      <c r="E248" s="23">
        <f>(E233-E234)/(2*E246)</f>
        <v>0</v>
      </c>
      <c r="F248" t="s">
        <v>904</v>
      </c>
      <c r="I248" t="s">
        <v>1121</v>
      </c>
      <c r="M248" s="16">
        <f>E251*0.01786/(E236*E236*PI()/4)</f>
        <v>15562.091652032106</v>
      </c>
      <c r="N248" t="s">
        <v>965</v>
      </c>
    </row>
    <row r="249" spans="1:14" ht="14.25" x14ac:dyDescent="0.2">
      <c r="I249" t="s">
        <v>966</v>
      </c>
      <c r="M249" s="17">
        <v>1</v>
      </c>
      <c r="N249" t="s">
        <v>1105</v>
      </c>
    </row>
    <row r="250" spans="1:14" x14ac:dyDescent="0.2">
      <c r="A250" t="s">
        <v>1126</v>
      </c>
      <c r="E250" s="39">
        <f>PI()*(E232+E247)/2</f>
        <v>414.83067914241519</v>
      </c>
      <c r="F250" t="s">
        <v>904</v>
      </c>
      <c r="I250" t="s">
        <v>968</v>
      </c>
      <c r="M250" s="39">
        <f>1000*(E236*E236*PI()/4)*M249</f>
        <v>29.267423992671468</v>
      </c>
      <c r="N250" t="s">
        <v>840</v>
      </c>
    </row>
    <row r="251" spans="1:14" x14ac:dyDescent="0.2">
      <c r="A251" t="s">
        <v>1127</v>
      </c>
      <c r="E251" s="16">
        <f>E250*E231/1000</f>
        <v>25501.810447527256</v>
      </c>
      <c r="F251" t="s">
        <v>980</v>
      </c>
      <c r="I251" t="s">
        <v>970</v>
      </c>
      <c r="M251" s="23">
        <f>0.000001*M250*M250*M248</f>
        <v>13.330209259220551</v>
      </c>
      <c r="N251" t="s">
        <v>971</v>
      </c>
    </row>
    <row r="252" spans="1:14" x14ac:dyDescent="0.2">
      <c r="A252" t="s">
        <v>1128</v>
      </c>
      <c r="E252" s="19">
        <f>10*E251*(0.01*E236)^2*PI()*8.93/4</f>
        <v>6.6651046296102754</v>
      </c>
      <c r="F252" t="s">
        <v>874</v>
      </c>
    </row>
    <row r="253" spans="1:14" x14ac:dyDescent="0.2">
      <c r="A253" s="122" t="s">
        <v>1152</v>
      </c>
      <c r="B253" s="87"/>
      <c r="C253" s="87"/>
      <c r="D253" s="87"/>
      <c r="E253" s="123"/>
      <c r="F253" s="87"/>
      <c r="G253" s="123"/>
      <c r="H253" s="87"/>
      <c r="I253" s="87"/>
      <c r="J253" s="87"/>
      <c r="K253" s="87"/>
      <c r="L253" s="87"/>
      <c r="M253" s="87"/>
    </row>
    <row r="256" spans="1:14" x14ac:dyDescent="0.2">
      <c r="A256" s="3" t="s">
        <v>982</v>
      </c>
    </row>
    <row r="257" spans="1:7" x14ac:dyDescent="0.2">
      <c r="A257" t="s">
        <v>1134</v>
      </c>
      <c r="E257" s="23">
        <f>E247/E187</f>
        <v>1.7725879117697594</v>
      </c>
      <c r="G257" s="100" t="str">
        <f>IF(E257&lt;=2.5,"OK","too fat")</f>
        <v>OK</v>
      </c>
    </row>
    <row r="258" spans="1:7" x14ac:dyDescent="0.2">
      <c r="E258" s="27"/>
      <c r="F258" s="18"/>
      <c r="G258" s="27"/>
    </row>
    <row r="260" spans="1:7" x14ac:dyDescent="0.2">
      <c r="A260" s="3" t="s">
        <v>1135</v>
      </c>
    </row>
    <row r="261" spans="1:7" x14ac:dyDescent="0.2">
      <c r="A261" s="3" t="s">
        <v>983</v>
      </c>
    </row>
    <row r="262" spans="1:7" x14ac:dyDescent="0.2">
      <c r="A262" t="s">
        <v>1136</v>
      </c>
      <c r="E262" s="23">
        <f>0.1*E233/E130</f>
        <v>1.4725834803494411</v>
      </c>
      <c r="G262" s="112" t="str">
        <f>IF(E262&gt;=1.33,"OK","too short")</f>
        <v>OK</v>
      </c>
    </row>
    <row r="265" spans="1:7" x14ac:dyDescent="0.2">
      <c r="A265" s="3" t="s">
        <v>984</v>
      </c>
    </row>
    <row r="266" spans="1:7" x14ac:dyDescent="0.2">
      <c r="A266" s="3" t="s">
        <v>985</v>
      </c>
    </row>
    <row r="267" spans="1:7" x14ac:dyDescent="0.2">
      <c r="A267" s="3" t="s">
        <v>986</v>
      </c>
    </row>
    <row r="268" spans="1:7" x14ac:dyDescent="0.2">
      <c r="A268" t="s">
        <v>1137</v>
      </c>
      <c r="E268" s="23">
        <f>0.1*E188/E130</f>
        <v>2.0452548338186682</v>
      </c>
      <c r="G268" s="112" t="str">
        <f>IF(E268&gt;=2,"OK","too short")</f>
        <v>OK</v>
      </c>
    </row>
    <row r="269" spans="1:7" x14ac:dyDescent="0.2">
      <c r="A269" t="s">
        <v>1177</v>
      </c>
      <c r="E269" s="23">
        <f>E188/E233</f>
        <v>1.3888888888888888</v>
      </c>
      <c r="G269" s="112" t="str">
        <f>IF(E269&gt;=2,"OK","too short")</f>
        <v>too short</v>
      </c>
    </row>
    <row r="270" spans="1:7" x14ac:dyDescent="0.2">
      <c r="A270" s="3"/>
    </row>
    <row r="271" spans="1:7" x14ac:dyDescent="0.2">
      <c r="A271" s="3" t="s">
        <v>987</v>
      </c>
    </row>
    <row r="272" spans="1:7" x14ac:dyDescent="0.2">
      <c r="A272" s="3" t="s">
        <v>988</v>
      </c>
    </row>
    <row r="273" spans="1:9" x14ac:dyDescent="0.2">
      <c r="A273" s="113" t="s">
        <v>1138</v>
      </c>
      <c r="E273" s="10">
        <f>G219</f>
        <v>5000</v>
      </c>
      <c r="F273" t="s">
        <v>1139</v>
      </c>
    </row>
    <row r="274" spans="1:9" x14ac:dyDescent="0.2">
      <c r="A274" s="3"/>
    </row>
    <row r="275" spans="1:9" x14ac:dyDescent="0.2">
      <c r="A275" s="3"/>
    </row>
    <row r="276" spans="1:9" x14ac:dyDescent="0.2">
      <c r="A276" s="3" t="s">
        <v>989</v>
      </c>
    </row>
    <row r="277" spans="1:9" x14ac:dyDescent="0.2">
      <c r="A277" s="3" t="s">
        <v>990</v>
      </c>
    </row>
    <row r="278" spans="1:9" x14ac:dyDescent="0.2">
      <c r="A278" s="3" t="s">
        <v>991</v>
      </c>
    </row>
    <row r="279" spans="1:9" x14ac:dyDescent="0.2">
      <c r="A279" s="113" t="s">
        <v>1141</v>
      </c>
      <c r="E279" s="10">
        <f>E218</f>
        <v>100</v>
      </c>
      <c r="F279" t="s">
        <v>1139</v>
      </c>
    </row>
    <row r="280" spans="1:9" x14ac:dyDescent="0.2">
      <c r="A280" s="3"/>
    </row>
    <row r="281" spans="1:9" x14ac:dyDescent="0.2">
      <c r="A281" s="3"/>
    </row>
    <row r="282" spans="1:9" x14ac:dyDescent="0.2">
      <c r="A282" s="3" t="s">
        <v>1142</v>
      </c>
    </row>
    <row r="283" spans="1:9" x14ac:dyDescent="0.2">
      <c r="A283" s="3" t="s">
        <v>1143</v>
      </c>
    </row>
    <row r="284" spans="1:9" x14ac:dyDescent="0.2">
      <c r="A284" s="113" t="s">
        <v>1144</v>
      </c>
      <c r="E284" s="10">
        <f>E180/E148</f>
        <v>0.85534390096245838</v>
      </c>
      <c r="G284" s="112" t="str">
        <f>IF(E284&gt;=0.85,"OK",IF(E284&gt;=0.7,"a bit short","too short"))</f>
        <v>OK</v>
      </c>
      <c r="I284" t="s">
        <v>426</v>
      </c>
    </row>
    <row r="285" spans="1:9" x14ac:dyDescent="0.2">
      <c r="A285" s="113" t="s">
        <v>1145</v>
      </c>
      <c r="E285" s="10">
        <f>E179-E178</f>
        <v>0.42242837973156</v>
      </c>
      <c r="G285" s="112" t="str">
        <f>IF(E285&lt;0.5,"low",IF(AND(E285&gt;=0.5,E285&lt;=1),"OK","too high"))</f>
        <v>low</v>
      </c>
    </row>
    <row r="286" spans="1:9" x14ac:dyDescent="0.2">
      <c r="A286" s="3"/>
      <c r="D286" s="33" t="s">
        <v>1178</v>
      </c>
      <c r="E286" s="112">
        <f>E179</f>
        <v>3</v>
      </c>
      <c r="F286" s="2" t="s">
        <v>1179</v>
      </c>
      <c r="G286" s="100">
        <f>E178</f>
        <v>2.57757162026844</v>
      </c>
      <c r="H286" t="s">
        <v>1180</v>
      </c>
    </row>
    <row r="287" spans="1:9" x14ac:dyDescent="0.2">
      <c r="A287" s="3"/>
      <c r="D287" s="33"/>
      <c r="E287" s="116"/>
      <c r="F287" s="116"/>
      <c r="G287" s="120"/>
    </row>
    <row r="288" spans="1:9" x14ac:dyDescent="0.2">
      <c r="A288" s="3"/>
    </row>
    <row r="289" spans="1:6" x14ac:dyDescent="0.2">
      <c r="A289" s="3" t="s">
        <v>1148</v>
      </c>
    </row>
    <row r="290" spans="1:6" x14ac:dyDescent="0.2">
      <c r="A290" s="3" t="s">
        <v>1146</v>
      </c>
    </row>
    <row r="291" spans="1:6" x14ac:dyDescent="0.2">
      <c r="A291" s="3" t="s">
        <v>1149</v>
      </c>
    </row>
    <row r="292" spans="1:6" x14ac:dyDescent="0.2">
      <c r="A292" s="113" t="s">
        <v>1147</v>
      </c>
    </row>
    <row r="293" spans="1:6" x14ac:dyDescent="0.2">
      <c r="A293" s="3"/>
    </row>
    <row r="294" spans="1:6" x14ac:dyDescent="0.2">
      <c r="A294" s="3"/>
    </row>
    <row r="295" spans="1:6" x14ac:dyDescent="0.2">
      <c r="A295" s="3" t="s">
        <v>1157</v>
      </c>
    </row>
    <row r="296" spans="1:6" x14ac:dyDescent="0.2">
      <c r="A296" s="3" t="s">
        <v>1153</v>
      </c>
    </row>
    <row r="297" spans="1:6" x14ac:dyDescent="0.2">
      <c r="A297" s="3" t="s">
        <v>1156</v>
      </c>
    </row>
    <row r="298" spans="1:6" x14ac:dyDescent="0.2">
      <c r="A298" s="3" t="s">
        <v>1155</v>
      </c>
    </row>
    <row r="299" spans="1:6" x14ac:dyDescent="0.2">
      <c r="A299" s="3" t="s">
        <v>1154</v>
      </c>
    </row>
    <row r="301" spans="1:6" x14ac:dyDescent="0.2">
      <c r="A301" s="113" t="s">
        <v>1158</v>
      </c>
    </row>
    <row r="302" spans="1:6" x14ac:dyDescent="0.2">
      <c r="A302" s="113" t="s">
        <v>1159</v>
      </c>
      <c r="E302" s="23">
        <f>0.277513707713303+0.126392777117194*EXP(-G130/(-6.84564814481717))</f>
        <v>1.0311976975871233</v>
      </c>
      <c r="F302" t="s">
        <v>1160</v>
      </c>
    </row>
    <row r="306" spans="1:8" x14ac:dyDescent="0.2">
      <c r="A306" s="18"/>
      <c r="B306" s="18"/>
      <c r="C306" s="18"/>
      <c r="D306" s="18"/>
      <c r="E306" s="116"/>
      <c r="F306" s="18"/>
      <c r="G306" s="116"/>
      <c r="H306" s="18"/>
    </row>
    <row r="307" spans="1:8" x14ac:dyDescent="0.2">
      <c r="A307" s="18"/>
      <c r="B307" s="18"/>
      <c r="C307" s="18"/>
      <c r="D307" s="18"/>
      <c r="E307" s="18"/>
      <c r="F307" s="18"/>
      <c r="G307" s="18"/>
      <c r="H307" s="18"/>
    </row>
    <row r="308" spans="1:8" x14ac:dyDescent="0.2">
      <c r="A308" s="18"/>
      <c r="B308" s="18"/>
      <c r="C308" s="18"/>
      <c r="D308" s="18"/>
      <c r="E308" s="34"/>
      <c r="F308" s="18"/>
      <c r="G308" s="34"/>
      <c r="H308" s="18"/>
    </row>
    <row r="309" spans="1:8" x14ac:dyDescent="0.2">
      <c r="A309" s="18"/>
      <c r="B309" s="18"/>
      <c r="C309" s="18"/>
      <c r="D309" s="18"/>
      <c r="E309" s="18"/>
      <c r="F309" s="18"/>
      <c r="G309" s="18"/>
      <c r="H309" s="18"/>
    </row>
    <row r="310" spans="1:8" x14ac:dyDescent="0.2">
      <c r="A310" s="18"/>
      <c r="B310" s="18"/>
      <c r="C310" s="18"/>
      <c r="D310" s="18"/>
      <c r="E310" s="27"/>
      <c r="F310" s="18"/>
      <c r="G310" s="18"/>
      <c r="H310" s="18"/>
    </row>
    <row r="311" spans="1:8" x14ac:dyDescent="0.2">
      <c r="A311" s="18"/>
      <c r="B311" s="18"/>
      <c r="C311" s="18"/>
      <c r="D311" s="18"/>
      <c r="E311" s="18"/>
      <c r="F311" s="18"/>
      <c r="G311" s="18"/>
      <c r="H311" s="18"/>
    </row>
    <row r="312" spans="1:8" x14ac:dyDescent="0.2">
      <c r="A312" s="18"/>
      <c r="B312" s="18"/>
      <c r="C312" s="18"/>
      <c r="D312" s="18"/>
      <c r="E312" s="18"/>
      <c r="F312" s="18"/>
      <c r="G312" s="18"/>
      <c r="H312" s="18"/>
    </row>
    <row r="313" spans="1:8" x14ac:dyDescent="0.2">
      <c r="A313" s="18"/>
      <c r="B313" s="18"/>
      <c r="C313" s="18"/>
      <c r="D313" s="18"/>
      <c r="E313" s="116"/>
      <c r="F313" s="18"/>
      <c r="G313" s="86"/>
      <c r="H313" s="18"/>
    </row>
    <row r="314" spans="1:8" x14ac:dyDescent="0.2">
      <c r="A314" s="18"/>
      <c r="B314" s="18"/>
      <c r="C314" s="18"/>
      <c r="D314" s="18"/>
      <c r="E314" s="18"/>
      <c r="F314" s="18"/>
      <c r="G314" s="84"/>
      <c r="H314" s="18"/>
    </row>
    <row r="315" spans="1:8" x14ac:dyDescent="0.2">
      <c r="A315" s="18"/>
      <c r="B315" s="18"/>
      <c r="C315" s="18"/>
      <c r="D315" s="18"/>
      <c r="E315" s="18"/>
      <c r="F315" s="18"/>
      <c r="G315" s="18"/>
      <c r="H315" s="18"/>
    </row>
    <row r="316" spans="1:8" x14ac:dyDescent="0.2">
      <c r="A316" s="18"/>
      <c r="B316" s="18"/>
      <c r="C316" s="18"/>
      <c r="D316" s="18"/>
      <c r="E316" s="18"/>
      <c r="F316" s="18"/>
      <c r="G316" s="18"/>
      <c r="H316" s="18"/>
    </row>
    <row r="317" spans="1:8" x14ac:dyDescent="0.2">
      <c r="A317" s="18"/>
      <c r="B317" s="18"/>
      <c r="C317" s="18"/>
      <c r="D317" s="18"/>
      <c r="E317" s="18"/>
      <c r="F317" s="18"/>
      <c r="G317" s="18"/>
      <c r="H317" s="18"/>
    </row>
    <row r="318" spans="1:8" x14ac:dyDescent="0.2">
      <c r="A318" s="18"/>
      <c r="B318" s="18"/>
      <c r="C318" s="18"/>
      <c r="D318" s="18"/>
      <c r="E318" s="18"/>
      <c r="F318" s="18"/>
      <c r="G318" s="18"/>
      <c r="H318" s="18"/>
    </row>
    <row r="319" spans="1:8" x14ac:dyDescent="0.2">
      <c r="A319" s="18"/>
      <c r="B319" s="18"/>
      <c r="C319" s="18"/>
      <c r="D319" s="18"/>
      <c r="E319" s="18"/>
      <c r="F319" s="18"/>
      <c r="G319" s="18"/>
      <c r="H319" s="18"/>
    </row>
    <row r="320" spans="1:8" x14ac:dyDescent="0.2">
      <c r="A320" s="18"/>
      <c r="B320" s="18"/>
      <c r="C320" s="18"/>
      <c r="D320" s="18"/>
      <c r="E320" s="18"/>
      <c r="F320" s="18"/>
      <c r="G320" s="18"/>
      <c r="H320" s="18"/>
    </row>
  </sheetData>
  <phoneticPr fontId="0" type="noConversion"/>
  <pageMargins left="1.17" right="0.78740157499999996" top="0.43" bottom="0.62" header="0.28999999999999998" footer="0.37"/>
  <pageSetup paperSize="9" orientation="portrait" verticalDpi="0" r:id="rId1"/>
  <headerFooter alignWithMargins="0">
    <oddFooter>&amp;L&amp;F / &amp;A&amp;Cthis design: &amp;D&amp;Rprogram of: 26.10.2004 / K.Schraner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ECFF"/>
  </sheetPr>
  <dimension ref="A1:V320"/>
  <sheetViews>
    <sheetView workbookViewId="0">
      <selection activeCell="R18" sqref="R18"/>
    </sheetView>
  </sheetViews>
  <sheetFormatPr baseColWidth="10" defaultColWidth="9.140625" defaultRowHeight="12.75" x14ac:dyDescent="0.2"/>
  <sheetData>
    <row r="1" spans="1:9" ht="23.25" x14ac:dyDescent="0.35">
      <c r="A1" s="1" t="s">
        <v>824</v>
      </c>
    </row>
    <row r="3" spans="1:9" x14ac:dyDescent="0.2">
      <c r="D3" t="s">
        <v>1021</v>
      </c>
      <c r="E3" s="286" t="s">
        <v>406</v>
      </c>
    </row>
    <row r="5" spans="1:9" ht="20.25" x14ac:dyDescent="0.3">
      <c r="E5" s="210" t="s">
        <v>95</v>
      </c>
    </row>
    <row r="7" spans="1:9" x14ac:dyDescent="0.2">
      <c r="A7" s="130"/>
      <c r="B7" s="148"/>
      <c r="C7" s="148"/>
      <c r="D7" s="148"/>
      <c r="E7" s="148"/>
      <c r="F7" s="148"/>
      <c r="G7" s="148"/>
      <c r="H7" s="148"/>
      <c r="I7" s="131"/>
    </row>
    <row r="8" spans="1:9" x14ac:dyDescent="0.2">
      <c r="A8" s="144"/>
      <c r="B8" s="25"/>
      <c r="C8" s="25"/>
      <c r="D8" s="25"/>
      <c r="E8" s="212" t="s">
        <v>59</v>
      </c>
      <c r="F8" s="25"/>
      <c r="G8" s="25"/>
      <c r="H8" s="25"/>
      <c r="I8" s="133"/>
    </row>
    <row r="9" spans="1:9" x14ac:dyDescent="0.2">
      <c r="A9" s="144"/>
      <c r="B9" s="25"/>
      <c r="C9" s="25"/>
      <c r="D9" s="25"/>
      <c r="E9" s="25"/>
      <c r="F9" s="25"/>
      <c r="G9" s="25"/>
      <c r="H9" s="25"/>
      <c r="I9" s="133"/>
    </row>
    <row r="10" spans="1:9" x14ac:dyDescent="0.2">
      <c r="A10" s="211" t="s">
        <v>65</v>
      </c>
      <c r="B10" s="25"/>
      <c r="C10" s="25"/>
      <c r="D10" s="25"/>
      <c r="E10" s="25"/>
      <c r="F10" s="212" t="s">
        <v>57</v>
      </c>
      <c r="G10" s="25"/>
      <c r="H10" s="25"/>
      <c r="I10" s="133"/>
    </row>
    <row r="11" spans="1:9" x14ac:dyDescent="0.2">
      <c r="A11" s="144" t="s">
        <v>52</v>
      </c>
      <c r="B11" s="25"/>
      <c r="C11" s="25"/>
      <c r="D11" s="213">
        <f>E141</f>
        <v>1.9884697465149237</v>
      </c>
      <c r="E11" s="25" t="s">
        <v>874</v>
      </c>
      <c r="F11" s="25"/>
      <c r="G11" s="25"/>
      <c r="H11" s="25"/>
      <c r="I11" s="133"/>
    </row>
    <row r="12" spans="1:9" x14ac:dyDescent="0.2">
      <c r="A12" s="144" t="s">
        <v>53</v>
      </c>
      <c r="B12" s="25"/>
      <c r="C12" s="25"/>
      <c r="D12" s="214">
        <f>10*E147</f>
        <v>29.502376566409573</v>
      </c>
      <c r="E12" s="25" t="s">
        <v>904</v>
      </c>
      <c r="F12" s="25"/>
      <c r="G12" s="25"/>
      <c r="H12" s="25"/>
      <c r="I12" s="133"/>
    </row>
    <row r="13" spans="1:9" x14ac:dyDescent="0.2">
      <c r="A13" s="144" t="s">
        <v>54</v>
      </c>
      <c r="B13" s="25"/>
      <c r="C13" s="25"/>
      <c r="D13" s="214">
        <f>10*E148</f>
        <v>393.03066061770829</v>
      </c>
      <c r="E13" s="25" t="s">
        <v>904</v>
      </c>
      <c r="F13" s="25" t="s">
        <v>954</v>
      </c>
      <c r="G13" s="25"/>
      <c r="H13" s="216">
        <f>10*E152</f>
        <v>29.5</v>
      </c>
      <c r="I13" s="133" t="s">
        <v>904</v>
      </c>
    </row>
    <row r="14" spans="1:9" x14ac:dyDescent="0.2">
      <c r="A14" s="144" t="s">
        <v>56</v>
      </c>
      <c r="B14" s="25"/>
      <c r="C14" s="25"/>
      <c r="D14" s="214">
        <f>10*E158</f>
        <v>363.52828405129867</v>
      </c>
      <c r="E14" s="25" t="s">
        <v>904</v>
      </c>
      <c r="F14" s="25" t="s">
        <v>1125</v>
      </c>
      <c r="G14" s="25"/>
      <c r="H14" s="216">
        <f>10*E153</f>
        <v>30</v>
      </c>
      <c r="I14" s="133" t="s">
        <v>904</v>
      </c>
    </row>
    <row r="15" spans="1:9" ht="14.25" x14ac:dyDescent="0.2">
      <c r="A15" s="144" t="s">
        <v>55</v>
      </c>
      <c r="B15" s="25"/>
      <c r="C15" s="25"/>
      <c r="D15" s="216">
        <f>E149</f>
        <v>6.8360288263531439</v>
      </c>
      <c r="E15" s="25" t="s">
        <v>1103</v>
      </c>
      <c r="F15" s="25" t="s">
        <v>1214</v>
      </c>
      <c r="G15" s="25"/>
      <c r="H15" s="215">
        <f>10*E154</f>
        <v>400</v>
      </c>
      <c r="I15" s="133" t="s">
        <v>904</v>
      </c>
    </row>
    <row r="16" spans="1:9" ht="14.25" x14ac:dyDescent="0.2">
      <c r="A16" s="144" t="s">
        <v>96</v>
      </c>
      <c r="B16" s="25"/>
      <c r="C16" s="25"/>
      <c r="D16" s="216">
        <f>E150</f>
        <v>6.1524259437178292</v>
      </c>
      <c r="E16" s="25" t="s">
        <v>1103</v>
      </c>
      <c r="F16" s="25" t="s">
        <v>58</v>
      </c>
      <c r="G16" s="25"/>
      <c r="H16" s="215">
        <f>10*E155</f>
        <v>0.24999999999999911</v>
      </c>
      <c r="I16" s="133" t="s">
        <v>904</v>
      </c>
    </row>
    <row r="17" spans="1:9" x14ac:dyDescent="0.2">
      <c r="A17" s="141"/>
      <c r="B17" s="142"/>
      <c r="C17" s="142"/>
      <c r="D17" s="142"/>
      <c r="E17" s="142"/>
      <c r="F17" s="142"/>
      <c r="G17" s="142"/>
      <c r="H17" s="142"/>
      <c r="I17" s="135"/>
    </row>
    <row r="18" spans="1:9" x14ac:dyDescent="0.2">
      <c r="A18" s="130"/>
      <c r="B18" s="148"/>
      <c r="C18" s="148"/>
      <c r="D18" s="148"/>
      <c r="E18" s="148"/>
      <c r="F18" s="148"/>
      <c r="G18" s="148"/>
      <c r="H18" s="148"/>
      <c r="I18" s="131"/>
    </row>
    <row r="19" spans="1:9" x14ac:dyDescent="0.2">
      <c r="A19" s="144"/>
      <c r="B19" s="25"/>
      <c r="C19" s="25"/>
      <c r="D19" s="25"/>
      <c r="E19" s="212" t="s">
        <v>1088</v>
      </c>
      <c r="F19" s="25"/>
      <c r="G19" s="25"/>
      <c r="H19" s="25"/>
      <c r="I19" s="133"/>
    </row>
    <row r="20" spans="1:9" x14ac:dyDescent="0.2">
      <c r="A20" s="211" t="s">
        <v>64</v>
      </c>
      <c r="B20" s="25"/>
      <c r="C20" s="25"/>
      <c r="D20" s="25"/>
      <c r="E20" s="25"/>
      <c r="F20" s="25"/>
      <c r="G20" s="25"/>
      <c r="H20" s="25"/>
      <c r="I20" s="133"/>
    </row>
    <row r="21" spans="1:9" x14ac:dyDescent="0.2">
      <c r="A21" s="144" t="s">
        <v>77</v>
      </c>
      <c r="B21" s="25"/>
      <c r="C21" s="25"/>
      <c r="D21" s="217">
        <f>E181</f>
        <v>655.52467119999994</v>
      </c>
      <c r="E21" s="25" t="s">
        <v>913</v>
      </c>
      <c r="F21" s="217">
        <f>E168</f>
        <v>650.0006778807915</v>
      </c>
      <c r="G21" s="25" t="s">
        <v>63</v>
      </c>
      <c r="H21" s="25"/>
      <c r="I21" s="133"/>
    </row>
    <row r="22" spans="1:9" x14ac:dyDescent="0.2">
      <c r="A22" s="144" t="s">
        <v>60</v>
      </c>
      <c r="B22" s="25"/>
      <c r="C22" s="25"/>
      <c r="D22" s="25">
        <f>E172</f>
        <v>1.82</v>
      </c>
      <c r="E22" s="25" t="s">
        <v>904</v>
      </c>
      <c r="F22" s="25">
        <f>E171</f>
        <v>1.8200121377214908</v>
      </c>
      <c r="G22" s="25" t="s">
        <v>63</v>
      </c>
      <c r="H22" s="25"/>
      <c r="I22" s="133"/>
    </row>
    <row r="23" spans="1:9" x14ac:dyDescent="0.2">
      <c r="A23" s="144" t="s">
        <v>1227</v>
      </c>
      <c r="B23" s="25"/>
      <c r="C23" s="25"/>
      <c r="D23" s="25">
        <f>E173</f>
        <v>2.1539999999999999</v>
      </c>
      <c r="E23" s="25" t="s">
        <v>904</v>
      </c>
      <c r="F23" s="25"/>
      <c r="G23" s="25"/>
      <c r="H23" s="25"/>
      <c r="I23" s="133"/>
    </row>
    <row r="24" spans="1:9" ht="14.25" x14ac:dyDescent="0.2">
      <c r="A24" s="144" t="s">
        <v>62</v>
      </c>
      <c r="B24" s="25"/>
      <c r="C24" s="25"/>
      <c r="D24" s="218">
        <f>D22*D22*PI()/4</f>
        <v>2.6015528764377081</v>
      </c>
      <c r="E24" s="25" t="s">
        <v>1107</v>
      </c>
      <c r="F24" s="25">
        <f>E170</f>
        <v>2.601587576470183</v>
      </c>
      <c r="G24" s="25" t="s">
        <v>63</v>
      </c>
      <c r="H24" s="25"/>
      <c r="I24" s="133"/>
    </row>
    <row r="25" spans="1:9" x14ac:dyDescent="0.2">
      <c r="A25" s="144" t="s">
        <v>1124</v>
      </c>
      <c r="B25" s="25"/>
      <c r="C25" s="25"/>
      <c r="D25" s="25">
        <f>E179</f>
        <v>4</v>
      </c>
      <c r="E25" t="s">
        <v>975</v>
      </c>
      <c r="F25" s="25"/>
      <c r="G25" s="25"/>
      <c r="H25" s="25"/>
      <c r="I25" s="133"/>
    </row>
    <row r="26" spans="1:9" x14ac:dyDescent="0.2">
      <c r="A26" s="144" t="s">
        <v>66</v>
      </c>
      <c r="B26" s="25"/>
      <c r="C26" s="25"/>
      <c r="D26" s="214">
        <f>10*E180</f>
        <v>353</v>
      </c>
      <c r="E26" s="25" t="s">
        <v>904</v>
      </c>
      <c r="F26" s="212" t="s">
        <v>76</v>
      </c>
      <c r="G26" s="25"/>
      <c r="H26" s="25"/>
      <c r="I26" s="133"/>
    </row>
    <row r="27" spans="1:9" x14ac:dyDescent="0.2">
      <c r="A27" s="144"/>
      <c r="B27" s="25"/>
      <c r="C27" s="25"/>
      <c r="D27" s="25"/>
      <c r="E27" s="25"/>
      <c r="F27" s="25" t="s">
        <v>69</v>
      </c>
      <c r="G27" s="25"/>
      <c r="H27" s="214">
        <f>E197</f>
        <v>45</v>
      </c>
      <c r="I27" s="133" t="s">
        <v>904</v>
      </c>
    </row>
    <row r="28" spans="1:9" x14ac:dyDescent="0.2">
      <c r="A28" s="144" t="s">
        <v>102</v>
      </c>
      <c r="B28" s="25"/>
      <c r="C28" s="25"/>
      <c r="D28" s="25">
        <f>E185</f>
        <v>7.6785791999999997</v>
      </c>
      <c r="E28" s="25" t="s">
        <v>904</v>
      </c>
      <c r="F28" s="25" t="s">
        <v>70</v>
      </c>
      <c r="G28" s="25"/>
      <c r="H28" s="214">
        <f>E198</f>
        <v>65</v>
      </c>
      <c r="I28" s="133" t="s">
        <v>904</v>
      </c>
    </row>
    <row r="29" spans="1:9" x14ac:dyDescent="0.2">
      <c r="A29" s="219" t="s">
        <v>67</v>
      </c>
      <c r="B29" s="25"/>
      <c r="C29" s="25"/>
      <c r="D29" s="25">
        <f>E183</f>
        <v>0</v>
      </c>
      <c r="E29" s="25" t="s">
        <v>904</v>
      </c>
      <c r="F29" s="25" t="s">
        <v>1214</v>
      </c>
      <c r="G29" s="25"/>
      <c r="H29" s="217">
        <f>E199</f>
        <v>400</v>
      </c>
      <c r="I29" s="133" t="s">
        <v>904</v>
      </c>
    </row>
    <row r="30" spans="1:9" x14ac:dyDescent="0.2">
      <c r="A30" s="144" t="s">
        <v>78</v>
      </c>
      <c r="B30" s="25"/>
      <c r="C30" s="25"/>
      <c r="D30" s="214">
        <f>H14</f>
        <v>30</v>
      </c>
      <c r="E30" s="25" t="s">
        <v>904</v>
      </c>
      <c r="F30" s="25" t="s">
        <v>58</v>
      </c>
      <c r="G30" s="25"/>
      <c r="H30" s="216">
        <f>E200</f>
        <v>10</v>
      </c>
      <c r="I30" s="133" t="s">
        <v>904</v>
      </c>
    </row>
    <row r="31" spans="1:9" x14ac:dyDescent="0.2">
      <c r="A31" s="144" t="s">
        <v>68</v>
      </c>
      <c r="B31" s="25"/>
      <c r="C31" s="25"/>
      <c r="D31" s="214">
        <f>E186</f>
        <v>45.357158400000003</v>
      </c>
      <c r="E31" s="25" t="s">
        <v>904</v>
      </c>
      <c r="I31" s="133"/>
    </row>
    <row r="32" spans="1:9" x14ac:dyDescent="0.2">
      <c r="A32" s="144"/>
      <c r="B32" s="25"/>
      <c r="C32" s="25"/>
      <c r="D32" s="25"/>
      <c r="E32" s="25"/>
      <c r="I32" s="133"/>
    </row>
    <row r="33" spans="1:10" ht="14.25" x14ac:dyDescent="0.2">
      <c r="A33" s="144" t="s">
        <v>1126</v>
      </c>
      <c r="B33" s="25"/>
      <c r="C33" s="25"/>
      <c r="D33" s="214">
        <f>E190</f>
        <v>118.37074761242118</v>
      </c>
      <c r="E33" s="25" t="s">
        <v>904</v>
      </c>
      <c r="F33" s="25" t="s">
        <v>97</v>
      </c>
      <c r="G33" s="25"/>
      <c r="H33" s="214">
        <f>D26*(D31-D30)</f>
        <v>5421.0769152000012</v>
      </c>
      <c r="I33" s="133" t="s">
        <v>1107</v>
      </c>
    </row>
    <row r="34" spans="1:10" ht="14.25" x14ac:dyDescent="0.2">
      <c r="A34" s="144" t="s">
        <v>1127</v>
      </c>
      <c r="B34" s="25"/>
      <c r="C34" s="25"/>
      <c r="D34" s="214">
        <f>E191</f>
        <v>77.594945408330574</v>
      </c>
      <c r="E34" s="25" t="s">
        <v>980</v>
      </c>
      <c r="F34" s="25" t="s">
        <v>98</v>
      </c>
      <c r="G34" s="25"/>
      <c r="H34" s="214">
        <f>D21*D24</f>
        <v>1705.3820939362427</v>
      </c>
      <c r="I34" s="133" t="s">
        <v>1107</v>
      </c>
    </row>
    <row r="35" spans="1:10" x14ac:dyDescent="0.2">
      <c r="A35" s="144" t="s">
        <v>93</v>
      </c>
      <c r="B35" s="25"/>
      <c r="C35" s="25"/>
      <c r="D35" s="213">
        <f>E194</f>
        <v>2.5250278356371902</v>
      </c>
      <c r="E35" s="25" t="s">
        <v>874</v>
      </c>
      <c r="F35" t="s">
        <v>99</v>
      </c>
      <c r="H35" s="221">
        <f>H34/H33</f>
        <v>0.31458363727593885</v>
      </c>
      <c r="I35" s="133"/>
    </row>
    <row r="36" spans="1:10" x14ac:dyDescent="0.2">
      <c r="A36" s="141"/>
      <c r="B36" s="142"/>
      <c r="C36" s="142"/>
      <c r="D36" s="142"/>
      <c r="E36" s="142"/>
      <c r="F36" s="142"/>
      <c r="G36" s="142"/>
      <c r="H36" s="142"/>
      <c r="I36" s="135"/>
    </row>
    <row r="37" spans="1:10" x14ac:dyDescent="0.2">
      <c r="A37" s="130"/>
      <c r="B37" s="148"/>
      <c r="C37" s="148"/>
      <c r="D37" s="148"/>
      <c r="E37" s="148"/>
      <c r="F37" s="148"/>
      <c r="G37" s="148"/>
      <c r="H37" s="148"/>
      <c r="I37" s="131"/>
    </row>
    <row r="38" spans="1:10" x14ac:dyDescent="0.2">
      <c r="A38" s="144"/>
      <c r="B38" s="25"/>
      <c r="C38" s="25"/>
      <c r="D38" s="25"/>
      <c r="E38" s="212" t="s">
        <v>71</v>
      </c>
      <c r="F38" s="25"/>
      <c r="G38" s="25"/>
      <c r="H38" s="25"/>
      <c r="I38" s="133"/>
    </row>
    <row r="39" spans="1:10" x14ac:dyDescent="0.2">
      <c r="A39" s="144"/>
      <c r="B39" s="25"/>
      <c r="C39" s="25"/>
      <c r="D39" s="25"/>
      <c r="E39" s="25"/>
      <c r="F39" s="25"/>
      <c r="G39" s="25"/>
      <c r="H39" s="25"/>
      <c r="I39" s="133"/>
    </row>
    <row r="40" spans="1:10" x14ac:dyDescent="0.2">
      <c r="A40" s="211" t="s">
        <v>79</v>
      </c>
      <c r="B40" s="25"/>
      <c r="C40" s="25"/>
      <c r="D40" s="25"/>
      <c r="E40" s="25"/>
      <c r="F40" s="212" t="s">
        <v>90</v>
      </c>
      <c r="G40" s="25"/>
      <c r="H40" s="25"/>
      <c r="I40" s="133"/>
    </row>
    <row r="41" spans="1:10" x14ac:dyDescent="0.2">
      <c r="A41" s="144" t="s">
        <v>952</v>
      </c>
      <c r="B41" s="25"/>
      <c r="C41" s="25"/>
      <c r="D41" s="129">
        <f>E231</f>
        <v>23400.024403708492</v>
      </c>
      <c r="E41" s="25" t="s">
        <v>913</v>
      </c>
      <c r="F41" s="25" t="s">
        <v>1124</v>
      </c>
      <c r="G41" s="25"/>
      <c r="H41" s="128">
        <f>E246</f>
        <v>51.476640301733013</v>
      </c>
      <c r="I41" s="133" t="s">
        <v>975</v>
      </c>
      <c r="J41" s="33"/>
    </row>
    <row r="42" spans="1:10" x14ac:dyDescent="0.2">
      <c r="A42" s="144" t="s">
        <v>60</v>
      </c>
      <c r="B42" s="25"/>
      <c r="C42" s="25"/>
      <c r="D42" s="79">
        <f>E236</f>
        <v>0.36</v>
      </c>
      <c r="E42" s="25" t="s">
        <v>904</v>
      </c>
      <c r="F42" s="25" t="s">
        <v>81</v>
      </c>
      <c r="G42" s="25"/>
      <c r="H42" s="129">
        <f>E241</f>
        <v>454.57559519323769</v>
      </c>
      <c r="I42" s="133" t="s">
        <v>913</v>
      </c>
      <c r="J42" s="33"/>
    </row>
    <row r="43" spans="1:10" x14ac:dyDescent="0.2">
      <c r="A43" s="144" t="s">
        <v>1227</v>
      </c>
      <c r="B43" s="25"/>
      <c r="C43" s="25"/>
      <c r="D43" s="79">
        <f>E237</f>
        <v>0.44</v>
      </c>
      <c r="E43" s="25" t="s">
        <v>904</v>
      </c>
      <c r="F43" s="25" t="s">
        <v>82</v>
      </c>
      <c r="G43" s="25"/>
      <c r="H43" s="129">
        <f>E242</f>
        <v>454.57559519323769</v>
      </c>
      <c r="I43" s="133" t="s">
        <v>913</v>
      </c>
    </row>
    <row r="44" spans="1:10" ht="14.25" x14ac:dyDescent="0.2">
      <c r="A44" s="144" t="s">
        <v>89</v>
      </c>
      <c r="B44" s="25"/>
      <c r="C44" s="25"/>
      <c r="D44" s="218">
        <f>D42*D42*PI()/4</f>
        <v>0.10178760197630929</v>
      </c>
      <c r="E44" s="25" t="s">
        <v>1107</v>
      </c>
      <c r="F44" s="25" t="s">
        <v>80</v>
      </c>
      <c r="G44" s="25"/>
      <c r="H44" s="129">
        <f>E243</f>
        <v>454.57559519323769</v>
      </c>
      <c r="I44" s="133" t="s">
        <v>913</v>
      </c>
    </row>
    <row r="45" spans="1:10" x14ac:dyDescent="0.2">
      <c r="A45" s="144"/>
      <c r="B45" s="25"/>
      <c r="C45" s="25"/>
      <c r="D45" s="25"/>
      <c r="E45" s="25"/>
      <c r="F45" s="25" t="s">
        <v>83</v>
      </c>
      <c r="G45" s="25"/>
      <c r="H45" s="79">
        <f>E244</f>
        <v>0</v>
      </c>
      <c r="I45" s="133" t="s">
        <v>913</v>
      </c>
    </row>
    <row r="46" spans="1:10" x14ac:dyDescent="0.2">
      <c r="A46" s="219" t="s">
        <v>101</v>
      </c>
      <c r="B46" s="25"/>
      <c r="C46" s="25"/>
      <c r="D46" s="214">
        <f>E240</f>
        <v>16.354431457761496</v>
      </c>
      <c r="E46" s="25" t="s">
        <v>904</v>
      </c>
      <c r="F46" s="25"/>
      <c r="G46" s="25"/>
      <c r="H46" s="25"/>
      <c r="I46" s="133"/>
    </row>
    <row r="47" spans="1:10" x14ac:dyDescent="0.2">
      <c r="A47" s="144" t="s">
        <v>102</v>
      </c>
      <c r="B47" s="25"/>
      <c r="C47" s="25"/>
      <c r="D47" s="214">
        <f>H41*D43</f>
        <v>22.649721732762526</v>
      </c>
      <c r="E47" s="25" t="s">
        <v>904</v>
      </c>
      <c r="F47" s="25" t="s">
        <v>85</v>
      </c>
      <c r="G47" s="25"/>
      <c r="H47" s="128">
        <f>E233</f>
        <v>200.01326188502458</v>
      </c>
      <c r="I47" s="133" t="s">
        <v>904</v>
      </c>
    </row>
    <row r="48" spans="1:10" x14ac:dyDescent="0.2">
      <c r="A48" s="144" t="s">
        <v>103</v>
      </c>
      <c r="B48" s="25"/>
      <c r="C48" s="25"/>
      <c r="D48" s="214">
        <f>(D50-D49)/2</f>
        <v>39.004153190524022</v>
      </c>
      <c r="E48" s="25" t="s">
        <v>904</v>
      </c>
      <c r="F48" s="25" t="s">
        <v>86</v>
      </c>
      <c r="G48" s="25"/>
      <c r="H48" s="128">
        <f>E235</f>
        <v>200.01326188502458</v>
      </c>
      <c r="I48" s="133" t="s">
        <v>904</v>
      </c>
    </row>
    <row r="49" spans="1:11" x14ac:dyDescent="0.2">
      <c r="A49" s="144" t="s">
        <v>78</v>
      </c>
      <c r="B49" s="25"/>
      <c r="C49" s="25"/>
      <c r="D49" s="128">
        <f>E232</f>
        <v>65</v>
      </c>
      <c r="E49" s="25" t="s">
        <v>904</v>
      </c>
      <c r="F49" s="25" t="s">
        <v>84</v>
      </c>
      <c r="G49" s="25"/>
      <c r="H49" s="128">
        <f>E234</f>
        <v>200.01326188502458</v>
      </c>
      <c r="I49" s="133" t="s">
        <v>904</v>
      </c>
    </row>
    <row r="50" spans="1:11" x14ac:dyDescent="0.2">
      <c r="A50" s="144" t="s">
        <v>68</v>
      </c>
      <c r="B50" s="25"/>
      <c r="C50" s="25"/>
      <c r="D50" s="128">
        <f>E247</f>
        <v>143.00830638104804</v>
      </c>
      <c r="E50" s="25" t="s">
        <v>904</v>
      </c>
      <c r="F50" s="25" t="s">
        <v>88</v>
      </c>
      <c r="G50" s="25"/>
      <c r="H50" s="222">
        <f>2*E248</f>
        <v>0</v>
      </c>
      <c r="I50" s="133" t="s">
        <v>904</v>
      </c>
      <c r="K50" s="30"/>
    </row>
    <row r="51" spans="1:11" x14ac:dyDescent="0.2">
      <c r="A51" s="144"/>
      <c r="B51" s="25"/>
      <c r="C51" s="25"/>
      <c r="D51" s="25"/>
      <c r="E51" s="25"/>
      <c r="F51" s="25"/>
      <c r="G51" s="25"/>
      <c r="H51" s="25"/>
      <c r="I51" s="133"/>
      <c r="K51" s="30"/>
    </row>
    <row r="52" spans="1:11" x14ac:dyDescent="0.2">
      <c r="A52" s="144"/>
      <c r="B52" s="25"/>
      <c r="C52" s="25"/>
      <c r="D52" s="25"/>
      <c r="E52" s="25"/>
      <c r="F52" s="25" t="s">
        <v>87</v>
      </c>
      <c r="G52" s="25"/>
      <c r="H52" s="79">
        <f>E238</f>
        <v>0.224</v>
      </c>
      <c r="I52" s="133" t="s">
        <v>104</v>
      </c>
    </row>
    <row r="53" spans="1:11" x14ac:dyDescent="0.2">
      <c r="A53" s="144"/>
      <c r="B53" s="25"/>
      <c r="C53" s="25"/>
      <c r="D53" s="25"/>
      <c r="E53" s="25"/>
      <c r="F53" s="25" t="s">
        <v>91</v>
      </c>
      <c r="G53" s="25"/>
      <c r="H53" s="79">
        <f>E239</f>
        <v>0.1</v>
      </c>
      <c r="I53" s="133" t="s">
        <v>104</v>
      </c>
    </row>
    <row r="54" spans="1:11" x14ac:dyDescent="0.2">
      <c r="A54" s="144"/>
      <c r="B54" s="25"/>
      <c r="C54" s="25"/>
      <c r="D54" s="25"/>
      <c r="E54" s="25"/>
      <c r="F54" s="25"/>
      <c r="G54" s="25"/>
      <c r="H54" s="25"/>
      <c r="I54" s="133"/>
    </row>
    <row r="55" spans="1:11" x14ac:dyDescent="0.2">
      <c r="A55" s="144" t="s">
        <v>1126</v>
      </c>
      <c r="B55" s="25"/>
      <c r="C55" s="25"/>
      <c r="D55" s="128">
        <f>E250</f>
        <v>326.73868360617769</v>
      </c>
      <c r="E55" s="25" t="s">
        <v>904</v>
      </c>
      <c r="F55" s="25" t="s">
        <v>97</v>
      </c>
      <c r="G55" s="25"/>
      <c r="H55" s="217">
        <f>H48*(D50-D49)</f>
        <v>15602.695813399796</v>
      </c>
      <c r="I55" s="133" t="s">
        <v>100</v>
      </c>
    </row>
    <row r="56" spans="1:11" x14ac:dyDescent="0.2">
      <c r="A56" s="144" t="s">
        <v>1127</v>
      </c>
      <c r="B56" s="25"/>
      <c r="C56" s="25"/>
      <c r="D56" s="129">
        <f>E251</f>
        <v>7645.6931700201458</v>
      </c>
      <c r="E56" s="25" t="s">
        <v>980</v>
      </c>
      <c r="F56" s="25" t="s">
        <v>98</v>
      </c>
      <c r="G56" s="25"/>
      <c r="H56" s="217">
        <f>D44*D41</f>
        <v>2381.8323702406042</v>
      </c>
      <c r="I56" s="133" t="s">
        <v>100</v>
      </c>
    </row>
    <row r="57" spans="1:11" x14ac:dyDescent="0.2">
      <c r="A57" s="144" t="s">
        <v>1128</v>
      </c>
      <c r="B57" s="25"/>
      <c r="C57" s="25"/>
      <c r="D57" s="223">
        <f>E252</f>
        <v>6.9496543848813639</v>
      </c>
      <c r="E57" s="25" t="s">
        <v>874</v>
      </c>
      <c r="F57" s="25" t="s">
        <v>99</v>
      </c>
      <c r="G57" s="25"/>
      <c r="H57" s="224">
        <f>H56/H55</f>
        <v>0.1526551820740526</v>
      </c>
      <c r="I57" s="133"/>
    </row>
    <row r="58" spans="1:11" x14ac:dyDescent="0.2">
      <c r="A58" s="141"/>
      <c r="B58" s="142"/>
      <c r="C58" s="142"/>
      <c r="D58" s="142"/>
      <c r="E58" s="142"/>
      <c r="F58" s="142"/>
      <c r="G58" s="142"/>
      <c r="H58" s="142"/>
      <c r="I58" s="135"/>
      <c r="K58" s="18"/>
    </row>
    <row r="60" spans="1:11" ht="20.25" x14ac:dyDescent="0.3">
      <c r="E60" s="210" t="s">
        <v>105</v>
      </c>
    </row>
    <row r="62" spans="1:11" x14ac:dyDescent="0.2">
      <c r="D62" t="s">
        <v>1021</v>
      </c>
      <c r="E62" s="286" t="str">
        <f>E3</f>
        <v>Kleiner PHYWE Induktor</v>
      </c>
    </row>
    <row r="64" spans="1:11" x14ac:dyDescent="0.2">
      <c r="A64" s="227" t="s">
        <v>111</v>
      </c>
      <c r="B64" s="148"/>
      <c r="C64" s="148"/>
      <c r="D64" s="148"/>
      <c r="E64" s="228"/>
      <c r="F64" s="228" t="s">
        <v>110</v>
      </c>
      <c r="G64" s="148"/>
      <c r="H64" s="148"/>
      <c r="I64" s="131"/>
    </row>
    <row r="65" spans="1:12" x14ac:dyDescent="0.2">
      <c r="A65" s="144"/>
      <c r="B65" s="25"/>
      <c r="C65" s="25"/>
      <c r="D65" s="25"/>
      <c r="E65" s="25"/>
      <c r="F65" s="25"/>
      <c r="G65" s="25"/>
      <c r="H65" s="25"/>
      <c r="I65" s="133"/>
    </row>
    <row r="66" spans="1:12" x14ac:dyDescent="0.2">
      <c r="A66" s="144" t="s">
        <v>121</v>
      </c>
      <c r="B66" s="25"/>
      <c r="C66" s="25"/>
      <c r="D66" s="216">
        <f>E130</f>
        <v>12</v>
      </c>
      <c r="E66" s="25" t="s">
        <v>834</v>
      </c>
      <c r="F66" s="25"/>
      <c r="G66" s="25"/>
      <c r="H66" s="25"/>
      <c r="I66" s="133"/>
    </row>
    <row r="67" spans="1:12" x14ac:dyDescent="0.2">
      <c r="A67" s="144" t="s">
        <v>145</v>
      </c>
      <c r="B67" s="25"/>
      <c r="C67" s="25"/>
      <c r="D67" s="217">
        <f>E131</f>
        <v>84080.418077382928</v>
      </c>
      <c r="E67" s="25" t="s">
        <v>837</v>
      </c>
      <c r="F67" s="25"/>
      <c r="G67" s="25"/>
      <c r="H67" s="25"/>
      <c r="I67" s="133"/>
    </row>
    <row r="68" spans="1:12" x14ac:dyDescent="0.2">
      <c r="A68" s="144" t="s">
        <v>123</v>
      </c>
      <c r="B68" s="25"/>
      <c r="C68" s="25"/>
      <c r="D68" s="214">
        <f>E132</f>
        <v>1.3903667914390538</v>
      </c>
      <c r="E68" s="25" t="s">
        <v>840</v>
      </c>
      <c r="F68" s="25" t="s">
        <v>107</v>
      </c>
      <c r="G68" s="25"/>
      <c r="H68" s="129">
        <f>E220</f>
        <v>9300.0186000371996</v>
      </c>
      <c r="I68" s="229" t="s">
        <v>931</v>
      </c>
    </row>
    <row r="69" spans="1:12" x14ac:dyDescent="0.2">
      <c r="A69" s="144" t="s">
        <v>108</v>
      </c>
      <c r="B69" s="25"/>
      <c r="C69" s="25"/>
      <c r="D69" s="217">
        <f>E133</f>
        <v>116.90262110510513</v>
      </c>
      <c r="E69" s="25" t="s">
        <v>843</v>
      </c>
      <c r="F69" s="25" t="s">
        <v>106</v>
      </c>
      <c r="G69" s="25"/>
      <c r="H69" s="129">
        <f>E221</f>
        <v>57217.67571192723</v>
      </c>
      <c r="I69" s="229" t="s">
        <v>933</v>
      </c>
    </row>
    <row r="70" spans="1:12" x14ac:dyDescent="0.2">
      <c r="A70" s="144" t="s">
        <v>109</v>
      </c>
      <c r="B70" s="25"/>
      <c r="C70" s="25"/>
      <c r="D70" s="217">
        <f>E137</f>
        <v>292.25655276276279</v>
      </c>
      <c r="E70" s="25" t="s">
        <v>843</v>
      </c>
      <c r="F70" s="25"/>
      <c r="G70" s="25"/>
      <c r="H70" s="25"/>
      <c r="I70" s="133"/>
    </row>
    <row r="71" spans="1:12" x14ac:dyDescent="0.2">
      <c r="A71" s="144" t="s">
        <v>124</v>
      </c>
      <c r="B71" s="25"/>
      <c r="C71" s="25"/>
      <c r="D71" s="224">
        <f>E136</f>
        <v>0.4</v>
      </c>
      <c r="E71" s="25"/>
      <c r="F71" s="25"/>
      <c r="G71" s="25"/>
      <c r="H71" s="25"/>
      <c r="I71" s="133"/>
    </row>
    <row r="72" spans="1:12" x14ac:dyDescent="0.2">
      <c r="A72" s="141"/>
      <c r="B72" s="142"/>
      <c r="C72" s="142"/>
      <c r="D72" s="142"/>
      <c r="E72" s="142"/>
      <c r="F72" s="142"/>
      <c r="G72" s="142"/>
      <c r="H72" s="142"/>
      <c r="I72" s="135"/>
    </row>
    <row r="73" spans="1:12" x14ac:dyDescent="0.2">
      <c r="A73" s="130"/>
      <c r="B73" s="148"/>
      <c r="C73" s="148"/>
      <c r="D73" s="148"/>
      <c r="E73" s="148"/>
      <c r="F73" s="148"/>
      <c r="G73" s="148"/>
      <c r="H73" s="148"/>
      <c r="I73" s="131"/>
    </row>
    <row r="74" spans="1:12" x14ac:dyDescent="0.2">
      <c r="A74" s="211" t="s">
        <v>1088</v>
      </c>
      <c r="B74" s="25"/>
      <c r="C74" s="25"/>
      <c r="D74" s="25"/>
      <c r="E74" s="25"/>
      <c r="F74" s="212" t="s">
        <v>71</v>
      </c>
      <c r="G74" s="25"/>
      <c r="H74" s="25"/>
      <c r="I74" s="230"/>
    </row>
    <row r="75" spans="1:12" x14ac:dyDescent="0.2">
      <c r="A75" s="144"/>
      <c r="B75" s="25"/>
      <c r="C75" s="25"/>
      <c r="D75" s="25"/>
      <c r="E75" s="25"/>
      <c r="F75" s="25"/>
      <c r="G75" s="25"/>
      <c r="H75" s="25"/>
      <c r="I75" s="230"/>
    </row>
    <row r="76" spans="1:12" x14ac:dyDescent="0.2">
      <c r="A76" s="144" t="s">
        <v>125</v>
      </c>
      <c r="B76" s="25"/>
      <c r="C76" s="25"/>
      <c r="D76" s="25">
        <f>E161</f>
        <v>132.3949516435959</v>
      </c>
      <c r="E76" s="25" t="s">
        <v>837</v>
      </c>
      <c r="F76" s="25" t="s">
        <v>136</v>
      </c>
      <c r="G76" s="25"/>
      <c r="H76" s="231">
        <f>E218</f>
        <v>36</v>
      </c>
      <c r="I76" s="133"/>
      <c r="J76" s="33" t="s">
        <v>138</v>
      </c>
      <c r="K76">
        <f>D41/D21</f>
        <v>35.69663421038377</v>
      </c>
      <c r="L76" t="s">
        <v>139</v>
      </c>
    </row>
    <row r="77" spans="1:12" ht="15.75" x14ac:dyDescent="0.3">
      <c r="A77" s="144" t="s">
        <v>126</v>
      </c>
      <c r="B77" s="25"/>
      <c r="C77" s="25"/>
      <c r="D77" s="25">
        <f>E162</f>
        <v>50</v>
      </c>
      <c r="E77" s="25" t="s">
        <v>893</v>
      </c>
      <c r="F77" s="25" t="s">
        <v>603</v>
      </c>
      <c r="G77" s="25"/>
      <c r="H77" s="128">
        <f t="shared" ref="H77:H83" si="0">M245</f>
        <v>18.925556776241748</v>
      </c>
      <c r="I77" s="133" t="s">
        <v>898</v>
      </c>
    </row>
    <row r="78" spans="1:12" x14ac:dyDescent="0.2">
      <c r="A78" s="144" t="s">
        <v>146</v>
      </c>
      <c r="B78" s="25"/>
      <c r="C78" s="25"/>
      <c r="D78" s="25">
        <f>E163</f>
        <v>10</v>
      </c>
      <c r="E78" s="25" t="s">
        <v>895</v>
      </c>
      <c r="F78" s="25" t="s">
        <v>144</v>
      </c>
      <c r="G78" s="25"/>
      <c r="H78" s="128">
        <f t="shared" si="0"/>
        <v>30</v>
      </c>
      <c r="I78" s="133"/>
    </row>
    <row r="79" spans="1:12" ht="15.75" x14ac:dyDescent="0.3">
      <c r="A79" s="144" t="s">
        <v>128</v>
      </c>
      <c r="B79" s="25"/>
      <c r="C79" s="25"/>
      <c r="D79" s="216">
        <f>E169</f>
        <v>3.8438067933765026</v>
      </c>
      <c r="E79" s="25" t="s">
        <v>120</v>
      </c>
      <c r="F79" s="25" t="s">
        <v>1120</v>
      </c>
      <c r="G79" s="25"/>
      <c r="H79" s="128">
        <f t="shared" si="0"/>
        <v>567.76670328725243</v>
      </c>
      <c r="I79" s="133" t="s">
        <v>898</v>
      </c>
    </row>
    <row r="80" spans="1:12" x14ac:dyDescent="0.2">
      <c r="A80" s="144" t="s">
        <v>119</v>
      </c>
      <c r="B80" s="25"/>
      <c r="C80" s="25"/>
      <c r="D80" s="218">
        <f>E192</f>
        <v>0.53269942638660295</v>
      </c>
      <c r="E80" s="25" t="s">
        <v>965</v>
      </c>
      <c r="F80" s="25" t="s">
        <v>134</v>
      </c>
      <c r="G80" s="25"/>
      <c r="H80" s="129">
        <f t="shared" si="0"/>
        <v>1341.5394150688592</v>
      </c>
      <c r="I80" s="133" t="s">
        <v>965</v>
      </c>
    </row>
    <row r="81" spans="1:10" x14ac:dyDescent="0.2">
      <c r="A81" s="144" t="s">
        <v>114</v>
      </c>
      <c r="B81" s="25"/>
      <c r="C81" s="25" t="str">
        <f>CONCATENATE(TEXT(C193,"###0")," turns")</f>
        <v>656 turns</v>
      </c>
      <c r="D81" s="214">
        <f>1000*E193</f>
        <v>95.248797707802069</v>
      </c>
      <c r="E81" s="25" t="s">
        <v>995</v>
      </c>
      <c r="F81" s="25" t="s">
        <v>133</v>
      </c>
      <c r="G81" s="25"/>
      <c r="H81" s="128">
        <f t="shared" si="0"/>
        <v>1</v>
      </c>
      <c r="I81" s="133" t="s">
        <v>120</v>
      </c>
    </row>
    <row r="82" spans="1:10" x14ac:dyDescent="0.2">
      <c r="A82" s="144" t="s">
        <v>129</v>
      </c>
      <c r="B82" s="25"/>
      <c r="C82" s="25"/>
      <c r="D82" s="214">
        <f>D81/D80</f>
        <v>178.80401778145693</v>
      </c>
      <c r="E82" s="25" t="s">
        <v>130</v>
      </c>
      <c r="F82" s="25" t="s">
        <v>137</v>
      </c>
      <c r="G82" s="25"/>
      <c r="H82" s="128">
        <f t="shared" si="0"/>
        <v>101.78760197630929</v>
      </c>
      <c r="I82" s="133" t="s">
        <v>840</v>
      </c>
    </row>
    <row r="83" spans="1:10" x14ac:dyDescent="0.2">
      <c r="A83" s="144" t="s">
        <v>135</v>
      </c>
      <c r="B83" s="25"/>
      <c r="C83" s="25"/>
      <c r="D83" s="25">
        <f>E226</f>
        <v>2335.5671688161924</v>
      </c>
      <c r="E83" s="25" t="s">
        <v>837</v>
      </c>
      <c r="F83" s="25" t="s">
        <v>132</v>
      </c>
      <c r="G83" s="25"/>
      <c r="H83" s="128">
        <f t="shared" si="0"/>
        <v>13.899308769762728</v>
      </c>
      <c r="I83" s="133" t="s">
        <v>971</v>
      </c>
    </row>
    <row r="84" spans="1:10" x14ac:dyDescent="0.2">
      <c r="A84" s="141"/>
      <c r="B84" s="142"/>
      <c r="C84" s="142"/>
      <c r="D84" s="232"/>
      <c r="E84" s="142"/>
      <c r="F84" s="142"/>
      <c r="G84" s="142"/>
      <c r="H84" s="142"/>
      <c r="I84" s="135"/>
    </row>
    <row r="86" spans="1:10" ht="20.25" x14ac:dyDescent="0.3">
      <c r="A86" s="46" t="s">
        <v>466</v>
      </c>
    </row>
    <row r="88" spans="1:10" x14ac:dyDescent="0.2">
      <c r="C88" s="2" t="s">
        <v>410</v>
      </c>
      <c r="D88" s="2" t="s">
        <v>413</v>
      </c>
      <c r="E88" s="2" t="s">
        <v>857</v>
      </c>
      <c r="F88" s="2" t="s">
        <v>414</v>
      </c>
      <c r="H88" t="s">
        <v>420</v>
      </c>
    </row>
    <row r="89" spans="1:10" x14ac:dyDescent="0.2">
      <c r="A89" s="3" t="s">
        <v>409</v>
      </c>
      <c r="B89" s="2" t="s">
        <v>411</v>
      </c>
      <c r="C89" s="287">
        <v>0</v>
      </c>
      <c r="D89" s="288">
        <f>D13/20</f>
        <v>19.651533030885414</v>
      </c>
      <c r="E89" s="290">
        <f>D12/20</f>
        <v>1.4751188283204786</v>
      </c>
      <c r="F89" s="288">
        <f>D89</f>
        <v>19.651533030885414</v>
      </c>
      <c r="G89" t="s">
        <v>421</v>
      </c>
      <c r="H89" s="53">
        <v>0.35</v>
      </c>
      <c r="I89" t="s">
        <v>904</v>
      </c>
    </row>
    <row r="90" spans="1:10" x14ac:dyDescent="0.2">
      <c r="A90" t="s">
        <v>416</v>
      </c>
      <c r="B90" t="s">
        <v>412</v>
      </c>
      <c r="C90" s="287">
        <v>0</v>
      </c>
      <c r="D90" s="288">
        <f>-D89</f>
        <v>-19.651533030885414</v>
      </c>
      <c r="E90" s="290">
        <f>E89</f>
        <v>1.4751188283204786</v>
      </c>
      <c r="F90" s="288">
        <f>-F89</f>
        <v>-19.651533030885414</v>
      </c>
      <c r="G90" t="s">
        <v>422</v>
      </c>
      <c r="H90" s="291">
        <v>0.9</v>
      </c>
      <c r="I90" s="30" t="s">
        <v>423</v>
      </c>
    </row>
    <row r="92" spans="1:10" x14ac:dyDescent="0.2">
      <c r="C92" s="2" t="s">
        <v>410</v>
      </c>
      <c r="D92" s="2" t="s">
        <v>413</v>
      </c>
      <c r="E92" s="2" t="s">
        <v>857</v>
      </c>
      <c r="F92" s="2" t="s">
        <v>414</v>
      </c>
      <c r="H92" t="s">
        <v>415</v>
      </c>
    </row>
    <row r="93" spans="1:10" ht="15.75" x14ac:dyDescent="0.3">
      <c r="A93" s="3" t="s">
        <v>1088</v>
      </c>
      <c r="B93" s="2" t="s">
        <v>411</v>
      </c>
      <c r="C93" s="290">
        <f>H14/20</f>
        <v>1.5</v>
      </c>
      <c r="D93" s="292">
        <f>D26/20</f>
        <v>17.649999999999999</v>
      </c>
      <c r="E93" s="290">
        <f>D31/20</f>
        <v>2.26785792</v>
      </c>
      <c r="F93" s="288">
        <f>D93</f>
        <v>17.649999999999999</v>
      </c>
      <c r="G93" t="s">
        <v>834</v>
      </c>
      <c r="H93" t="s">
        <v>457</v>
      </c>
    </row>
    <row r="94" spans="1:10" ht="14.25" x14ac:dyDescent="0.2">
      <c r="A94" t="s">
        <v>417</v>
      </c>
      <c r="B94" t="s">
        <v>412</v>
      </c>
      <c r="C94" s="290">
        <f>C93</f>
        <v>1.5</v>
      </c>
      <c r="D94" s="292">
        <f>-D93</f>
        <v>-17.649999999999999</v>
      </c>
      <c r="E94" s="290">
        <f>E93</f>
        <v>2.26785792</v>
      </c>
      <c r="F94" s="288">
        <f>-F93</f>
        <v>-17.649999999999999</v>
      </c>
      <c r="G94" t="s">
        <v>834</v>
      </c>
      <c r="H94" s="58">
        <f>D21*D78/((E93-C93)*2*F93*100)</f>
        <v>2.4184297011613816</v>
      </c>
      <c r="I94" t="s">
        <v>432</v>
      </c>
      <c r="J94" t="s">
        <v>419</v>
      </c>
    </row>
    <row r="96" spans="1:10" ht="15.75" x14ac:dyDescent="0.3">
      <c r="C96" s="2" t="s">
        <v>410</v>
      </c>
      <c r="D96" s="2" t="s">
        <v>413</v>
      </c>
      <c r="E96" s="2" t="s">
        <v>857</v>
      </c>
      <c r="F96" s="2" t="s">
        <v>414</v>
      </c>
      <c r="H96" t="s">
        <v>415</v>
      </c>
      <c r="J96" s="2" t="s">
        <v>424</v>
      </c>
    </row>
    <row r="97" spans="1:10" ht="15.75" x14ac:dyDescent="0.3">
      <c r="A97" s="3" t="s">
        <v>418</v>
      </c>
      <c r="B97" s="2" t="s">
        <v>411</v>
      </c>
      <c r="C97" s="290">
        <f>D49/20</f>
        <v>3.25</v>
      </c>
      <c r="D97" s="288">
        <f>H47/20</f>
        <v>10.000663094251228</v>
      </c>
      <c r="E97" s="290">
        <f>D50/20</f>
        <v>7.150415319052402</v>
      </c>
      <c r="F97" s="288">
        <f>H49/20</f>
        <v>10.000663094251228</v>
      </c>
      <c r="G97" t="s">
        <v>834</v>
      </c>
      <c r="H97" t="s">
        <v>456</v>
      </c>
      <c r="J97" s="289">
        <f>D41*D68*0.001</f>
        <v>32.534616849779738</v>
      </c>
    </row>
    <row r="98" spans="1:10" ht="15.75" x14ac:dyDescent="0.3">
      <c r="A98" t="s">
        <v>417</v>
      </c>
      <c r="B98" t="s">
        <v>412</v>
      </c>
      <c r="C98" s="290">
        <f>C97</f>
        <v>3.25</v>
      </c>
      <c r="D98" s="288">
        <f>-D97</f>
        <v>-10.000663094251228</v>
      </c>
      <c r="E98" s="290">
        <f>E97</f>
        <v>7.150415319052402</v>
      </c>
      <c r="F98" s="288">
        <f>-F97</f>
        <v>-10.000663094251228</v>
      </c>
      <c r="G98" t="s">
        <v>834</v>
      </c>
      <c r="H98">
        <f>G103/H55</f>
        <v>0.42013551955363182</v>
      </c>
      <c r="I98" t="s">
        <v>432</v>
      </c>
      <c r="J98" t="s">
        <v>433</v>
      </c>
    </row>
    <row r="99" spans="1:10" ht="14.25" x14ac:dyDescent="0.2">
      <c r="H99">
        <f>D41*0.001*D68/((E97-C97)*(D97+F97)*100)</f>
        <v>4.1703840463054587E-3</v>
      </c>
      <c r="I99" t="s">
        <v>432</v>
      </c>
      <c r="J99" t="s">
        <v>425</v>
      </c>
    </row>
    <row r="101" spans="1:10" ht="20.25" x14ac:dyDescent="0.3">
      <c r="B101" s="46" t="s">
        <v>465</v>
      </c>
    </row>
    <row r="103" spans="1:10" ht="15.75" x14ac:dyDescent="0.3">
      <c r="F103" s="33" t="s">
        <v>460</v>
      </c>
      <c r="G103" s="260">
        <f>D21*D78</f>
        <v>6555.2467119999992</v>
      </c>
      <c r="H103" t="s">
        <v>895</v>
      </c>
      <c r="J103" t="s">
        <v>593</v>
      </c>
    </row>
    <row r="104" spans="1:10" ht="15.75" x14ac:dyDescent="0.3">
      <c r="B104" t="s">
        <v>458</v>
      </c>
      <c r="C104" s="28">
        <v>1.53451413757328</v>
      </c>
      <c r="D104" t="s">
        <v>459</v>
      </c>
      <c r="F104" s="33" t="s">
        <v>455</v>
      </c>
      <c r="G104" s="10">
        <f>D78</f>
        <v>10</v>
      </c>
      <c r="H104" t="s">
        <v>895</v>
      </c>
    </row>
    <row r="105" spans="1:10" ht="15.75" x14ac:dyDescent="0.3">
      <c r="A105" t="s">
        <v>440</v>
      </c>
      <c r="C105" s="293">
        <v>5.0978750000000002</v>
      </c>
      <c r="D105" t="s">
        <v>428</v>
      </c>
      <c r="F105" t="s">
        <v>438</v>
      </c>
      <c r="G105" s="10">
        <f>1000*C105/(D78*D78)</f>
        <v>50.978749999999998</v>
      </c>
      <c r="H105" t="s">
        <v>995</v>
      </c>
      <c r="J105" t="s">
        <v>451</v>
      </c>
    </row>
    <row r="106" spans="1:10" ht="15.75" x14ac:dyDescent="0.3">
      <c r="A106" t="s">
        <v>450</v>
      </c>
      <c r="C106" s="293">
        <v>2.1001599999999998</v>
      </c>
      <c r="D106" t="s">
        <v>427</v>
      </c>
      <c r="F106" t="s">
        <v>445</v>
      </c>
      <c r="G106" s="10">
        <f>2000*C106/(D78*D78)</f>
        <v>42.0032</v>
      </c>
      <c r="H106" t="s">
        <v>995</v>
      </c>
      <c r="J106" t="s">
        <v>452</v>
      </c>
    </row>
    <row r="107" spans="1:10" ht="15.75" x14ac:dyDescent="0.3">
      <c r="A107" t="s">
        <v>429</v>
      </c>
      <c r="C107" s="293">
        <v>7.264105E-6</v>
      </c>
      <c r="D107" t="s">
        <v>439</v>
      </c>
      <c r="F107" s="33" t="s">
        <v>463</v>
      </c>
      <c r="G107" s="29">
        <f>1000*(D41/(D78*(0.000001*H55)))*C107</f>
        <v>1089.428623771026</v>
      </c>
      <c r="H107" t="s">
        <v>995</v>
      </c>
      <c r="J107" t="s">
        <v>448</v>
      </c>
    </row>
    <row r="108" spans="1:10" ht="15.75" x14ac:dyDescent="0.3">
      <c r="A108" t="s">
        <v>431</v>
      </c>
      <c r="C108" s="293">
        <v>7.7999999999999996E-3</v>
      </c>
      <c r="D108" t="s">
        <v>430</v>
      </c>
      <c r="F108" s="33" t="s">
        <v>462</v>
      </c>
      <c r="G108" s="10">
        <f>0.001*G107/SQRT(0.001*G105*G113)</f>
        <v>0.93019978929981395</v>
      </c>
      <c r="H108" t="s">
        <v>423</v>
      </c>
    </row>
    <row r="109" spans="1:10" x14ac:dyDescent="0.2">
      <c r="C109" s="294"/>
    </row>
    <row r="110" spans="1:10" x14ac:dyDescent="0.2">
      <c r="J110" t="s">
        <v>594</v>
      </c>
    </row>
    <row r="111" spans="1:10" ht="15.75" x14ac:dyDescent="0.3">
      <c r="C111" s="31"/>
      <c r="F111" s="33" t="s">
        <v>461</v>
      </c>
      <c r="G111" s="260">
        <f>G103</f>
        <v>6555.2467119999992</v>
      </c>
      <c r="H111" t="s">
        <v>895</v>
      </c>
    </row>
    <row r="112" spans="1:10" ht="15.75" x14ac:dyDescent="0.3">
      <c r="B112" t="s">
        <v>458</v>
      </c>
      <c r="C112" s="28">
        <v>1.2854768192122099</v>
      </c>
      <c r="D112" t="s">
        <v>459</v>
      </c>
      <c r="F112" s="33" t="s">
        <v>443</v>
      </c>
      <c r="G112" s="10">
        <f>G103/D41</f>
        <v>0.28013845622148614</v>
      </c>
      <c r="H112" t="s">
        <v>895</v>
      </c>
      <c r="J112" t="s">
        <v>433</v>
      </c>
    </row>
    <row r="113" spans="1:15" ht="15.75" x14ac:dyDescent="0.3">
      <c r="A113" t="s">
        <v>441</v>
      </c>
      <c r="C113" s="28">
        <v>2.1115499999999998</v>
      </c>
      <c r="D113" t="s">
        <v>428</v>
      </c>
      <c r="F113" t="s">
        <v>442</v>
      </c>
      <c r="G113" s="10">
        <f>C113/(G112*G112)</f>
        <v>26.906419412599984</v>
      </c>
      <c r="H113" t="s">
        <v>898</v>
      </c>
      <c r="J113" t="s">
        <v>453</v>
      </c>
    </row>
    <row r="114" spans="1:15" ht="15.75" x14ac:dyDescent="0.3">
      <c r="A114" t="s">
        <v>450</v>
      </c>
      <c r="C114" s="28">
        <v>1.0015320000000001</v>
      </c>
      <c r="D114" t="s">
        <v>427</v>
      </c>
      <c r="F114" t="s">
        <v>444</v>
      </c>
      <c r="G114" s="10">
        <f>2*C114/(G112*G112)</f>
        <v>25.524036889621456</v>
      </c>
      <c r="H114" t="s">
        <v>898</v>
      </c>
      <c r="J114" t="s">
        <v>454</v>
      </c>
    </row>
    <row r="115" spans="1:15" ht="15.75" x14ac:dyDescent="0.3">
      <c r="A115" t="s">
        <v>446</v>
      </c>
      <c r="C115" s="293">
        <v>1.5143489999999999E-6</v>
      </c>
      <c r="D115" t="s">
        <v>439</v>
      </c>
      <c r="F115" s="33" t="s">
        <v>464</v>
      </c>
      <c r="G115" s="10">
        <f>1000000000*C115*D21/(H33*G112)</f>
        <v>653.6672345742619</v>
      </c>
      <c r="H115" t="s">
        <v>995</v>
      </c>
      <c r="J115" t="s">
        <v>449</v>
      </c>
    </row>
    <row r="116" spans="1:15" ht="15.75" x14ac:dyDescent="0.3">
      <c r="A116" t="s">
        <v>447</v>
      </c>
      <c r="C116" s="293">
        <v>2.7110400000000001E-3</v>
      </c>
      <c r="D116" t="s">
        <v>430</v>
      </c>
      <c r="F116" s="33" t="s">
        <v>462</v>
      </c>
      <c r="G116" s="10">
        <f>0.001*G115/SQRT(0.001*G105*G113)</f>
        <v>0.55812846349534451</v>
      </c>
      <c r="H116" t="s">
        <v>423</v>
      </c>
    </row>
    <row r="117" spans="1:15" x14ac:dyDescent="0.2">
      <c r="C117" s="145"/>
      <c r="D117" s="145"/>
      <c r="E117" s="145"/>
      <c r="F117" s="145"/>
    </row>
    <row r="118" spans="1:15" x14ac:dyDescent="0.2">
      <c r="C118" s="145"/>
      <c r="D118" s="145"/>
      <c r="E118" s="145"/>
      <c r="F118" s="145"/>
    </row>
    <row r="119" spans="1:15" x14ac:dyDescent="0.2">
      <c r="C119" s="145"/>
      <c r="D119" s="145"/>
      <c r="E119" s="145"/>
      <c r="F119" s="145"/>
    </row>
    <row r="120" spans="1:15" x14ac:dyDescent="0.2">
      <c r="C120" s="145"/>
      <c r="D120" s="145"/>
      <c r="E120" s="145"/>
      <c r="F120" s="145"/>
    </row>
    <row r="121" spans="1:15" ht="23.25" x14ac:dyDescent="0.35">
      <c r="A121" s="1" t="s">
        <v>824</v>
      </c>
    </row>
    <row r="124" spans="1:15" ht="20.25" x14ac:dyDescent="0.3">
      <c r="E124" s="210" t="s">
        <v>194</v>
      </c>
    </row>
    <row r="125" spans="1:15" x14ac:dyDescent="0.2">
      <c r="D125" s="226"/>
    </row>
    <row r="127" spans="1:15" x14ac:dyDescent="0.2">
      <c r="E127" s="2" t="s">
        <v>825</v>
      </c>
      <c r="G127" s="2" t="s">
        <v>825</v>
      </c>
      <c r="O127" s="3" t="s">
        <v>826</v>
      </c>
    </row>
    <row r="128" spans="1:15" ht="13.5" thickBot="1" x14ac:dyDescent="0.25">
      <c r="E128" s="2" t="s">
        <v>827</v>
      </c>
      <c r="G128" s="2" t="s">
        <v>828</v>
      </c>
    </row>
    <row r="129" spans="1:22" x14ac:dyDescent="0.2">
      <c r="A129" s="3" t="s">
        <v>829</v>
      </c>
      <c r="E129" t="s">
        <v>830</v>
      </c>
      <c r="G129" t="s">
        <v>831</v>
      </c>
      <c r="I129" s="40" t="s">
        <v>1236</v>
      </c>
      <c r="O129" s="4" t="s">
        <v>832</v>
      </c>
      <c r="P129" s="5"/>
      <c r="Q129" s="6"/>
      <c r="R129" s="6"/>
      <c r="S129" s="6"/>
      <c r="T129" s="7"/>
      <c r="U129" s="8"/>
    </row>
    <row r="130" spans="1:22" ht="13.5" thickBot="1" x14ac:dyDescent="0.25">
      <c r="A130" t="s">
        <v>833</v>
      </c>
      <c r="E130" s="9">
        <v>12</v>
      </c>
      <c r="F130" t="s">
        <v>834</v>
      </c>
      <c r="G130" s="10">
        <f>E130/2.54</f>
        <v>4.7244094488188972</v>
      </c>
      <c r="H130" t="s">
        <v>835</v>
      </c>
      <c r="O130" s="11" t="s">
        <v>1098</v>
      </c>
      <c r="P130" s="12"/>
      <c r="Q130" s="13"/>
      <c r="R130" s="13"/>
      <c r="S130" s="13"/>
      <c r="T130" s="13"/>
      <c r="U130" s="14"/>
    </row>
    <row r="131" spans="1:22" x14ac:dyDescent="0.2">
      <c r="A131" t="s">
        <v>836</v>
      </c>
      <c r="E131" s="15">
        <f>1000*($R$134+$R$136*E130+$R$138*E130^2+$R$140*E130^3+$R$142*E130^4+$R$144*E130^5)/(1+$R$135*E130+$R$137*E130^2+$R$139*E130^3+$R$141*E130^4+$R$143*E130^5)</f>
        <v>84080.418077382928</v>
      </c>
      <c r="F131" t="s">
        <v>837</v>
      </c>
      <c r="G131" s="16">
        <f>E131</f>
        <v>84080.418077382928</v>
      </c>
      <c r="H131" t="s">
        <v>837</v>
      </c>
      <c r="I131" t="s">
        <v>0</v>
      </c>
    </row>
    <row r="132" spans="1:22" x14ac:dyDescent="0.2">
      <c r="A132" t="s">
        <v>839</v>
      </c>
      <c r="E132" s="17">
        <v>1.3903667914390538</v>
      </c>
      <c r="F132" t="s">
        <v>840</v>
      </c>
      <c r="G132" s="10">
        <f>E132</f>
        <v>1.3903667914390538</v>
      </c>
      <c r="H132" t="s">
        <v>840</v>
      </c>
      <c r="O132" t="s">
        <v>50</v>
      </c>
      <c r="R132" t="s">
        <v>841</v>
      </c>
    </row>
    <row r="133" spans="1:22" x14ac:dyDescent="0.2">
      <c r="A133" t="s">
        <v>842</v>
      </c>
      <c r="E133" s="10">
        <f>0.001*E132*E131</f>
        <v>116.90262110510513</v>
      </c>
      <c r="F133" t="s">
        <v>843</v>
      </c>
      <c r="G133" s="10">
        <f>E133</f>
        <v>116.90262110510513</v>
      </c>
      <c r="H133" t="s">
        <v>843</v>
      </c>
      <c r="Q133" t="s">
        <v>844</v>
      </c>
      <c r="R133" t="s">
        <v>845</v>
      </c>
      <c r="S133" t="s">
        <v>846</v>
      </c>
      <c r="T133" t="s">
        <v>847</v>
      </c>
      <c r="U133" t="s">
        <v>848</v>
      </c>
      <c r="V133" t="s">
        <v>848</v>
      </c>
    </row>
    <row r="134" spans="1:22" x14ac:dyDescent="0.2">
      <c r="E134" s="18"/>
      <c r="G134" s="18"/>
      <c r="O134" t="s">
        <v>849</v>
      </c>
      <c r="P134" t="s">
        <v>841</v>
      </c>
      <c r="Q134" s="2" t="s">
        <v>850</v>
      </c>
      <c r="R134">
        <v>0.10168117593888058</v>
      </c>
      <c r="S134">
        <v>1.3223173201672782E-8</v>
      </c>
      <c r="T134">
        <v>7689619.9110526303</v>
      </c>
      <c r="U134">
        <v>0.10168114835582463</v>
      </c>
      <c r="V134">
        <v>0.10168120352193655</v>
      </c>
    </row>
    <row r="135" spans="1:22" x14ac:dyDescent="0.2">
      <c r="A135" s="3" t="s">
        <v>851</v>
      </c>
      <c r="E135" s="18"/>
      <c r="G135" s="18"/>
      <c r="O135" t="s">
        <v>852</v>
      </c>
      <c r="P135">
        <v>7909</v>
      </c>
      <c r="Q135" s="2" t="s">
        <v>853</v>
      </c>
      <c r="R135">
        <v>-0.10298422903794459</v>
      </c>
      <c r="S135">
        <v>5.3550248326002946E-6</v>
      </c>
      <c r="T135">
        <v>-19231.32613895601</v>
      </c>
      <c r="U135">
        <v>-0.10299539942400515</v>
      </c>
      <c r="V135">
        <v>-0.10297305865188403</v>
      </c>
    </row>
    <row r="136" spans="1:22" x14ac:dyDescent="0.2">
      <c r="A136" t="s">
        <v>854</v>
      </c>
      <c r="E136" s="17">
        <v>0.4</v>
      </c>
      <c r="F136" t="s">
        <v>855</v>
      </c>
      <c r="G136" s="10">
        <f>E136</f>
        <v>0.4</v>
      </c>
      <c r="H136" t="s">
        <v>855</v>
      </c>
      <c r="I136" t="s">
        <v>856</v>
      </c>
      <c r="O136" t="s">
        <v>857</v>
      </c>
      <c r="P136">
        <v>0.99999210248868464</v>
      </c>
      <c r="Q136" s="2" t="s">
        <v>858</v>
      </c>
      <c r="R136">
        <v>11.60983286832051</v>
      </c>
      <c r="S136">
        <v>9.1837419778150747E-8</v>
      </c>
      <c r="T136">
        <v>126417237.07358155</v>
      </c>
      <c r="U136">
        <v>11.609832676751008</v>
      </c>
      <c r="V136">
        <v>11.609833059890009</v>
      </c>
    </row>
    <row r="137" spans="1:22" x14ac:dyDescent="0.2">
      <c r="A137" t="s">
        <v>859</v>
      </c>
      <c r="E137" s="10">
        <f>E133/E136</f>
        <v>292.25655276276279</v>
      </c>
      <c r="F137" t="s">
        <v>843</v>
      </c>
      <c r="G137" s="10">
        <f>E137</f>
        <v>292.25655276276279</v>
      </c>
      <c r="H137" t="s">
        <v>843</v>
      </c>
      <c r="O137" t="s">
        <v>860</v>
      </c>
      <c r="P137">
        <v>0.99998753024529152</v>
      </c>
      <c r="Q137" s="2" t="s">
        <v>861</v>
      </c>
      <c r="R137">
        <v>2.2002776709666754E-2</v>
      </c>
      <c r="S137">
        <v>2.7363452194542684E-5</v>
      </c>
      <c r="T137">
        <v>804.09359730037818</v>
      </c>
      <c r="U137">
        <v>2.1945697548595093E-2</v>
      </c>
      <c r="V137">
        <v>2.2059855870738415E-2</v>
      </c>
    </row>
    <row r="138" spans="1:22" x14ac:dyDescent="0.2">
      <c r="O138" t="s">
        <v>862</v>
      </c>
      <c r="P138">
        <v>0.17111001251528976</v>
      </c>
      <c r="Q138" s="2" t="s">
        <v>863</v>
      </c>
      <c r="R138">
        <v>-1.1136954486547923</v>
      </c>
      <c r="S138">
        <v>6.0018116082720363E-7</v>
      </c>
      <c r="T138">
        <v>-1855598.8113986021</v>
      </c>
      <c r="U138">
        <v>-1.1136967006107557</v>
      </c>
      <c r="V138">
        <v>-1.113694196698829</v>
      </c>
    </row>
    <row r="139" spans="1:22" x14ac:dyDescent="0.2">
      <c r="A139" s="3" t="s">
        <v>864</v>
      </c>
      <c r="O139" t="s">
        <v>865</v>
      </c>
      <c r="P139">
        <v>253242.33484612688</v>
      </c>
      <c r="Q139" s="2" t="s">
        <v>866</v>
      </c>
      <c r="R139">
        <v>-1.3154143255757434E-3</v>
      </c>
      <c r="S139">
        <v>2.7480228463650732E-6</v>
      </c>
      <c r="T139">
        <v>-478.67663375349957</v>
      </c>
      <c r="U139">
        <v>-1.3211466007857977E-3</v>
      </c>
      <c r="V139">
        <v>-1.3096820503656894E-3</v>
      </c>
    </row>
    <row r="140" spans="1:22" x14ac:dyDescent="0.2">
      <c r="A140" t="s">
        <v>867</v>
      </c>
      <c r="E140" s="17">
        <v>6.8038499999999997</v>
      </c>
      <c r="F140" t="s">
        <v>868</v>
      </c>
      <c r="G140" s="10">
        <f>E140/0.45359</f>
        <v>15</v>
      </c>
      <c r="H140" t="s">
        <v>869</v>
      </c>
      <c r="I140" t="s">
        <v>870</v>
      </c>
      <c r="O140" t="s">
        <v>871</v>
      </c>
      <c r="P140" t="s">
        <v>872</v>
      </c>
      <c r="Q140" s="2" t="s">
        <v>873</v>
      </c>
      <c r="R140">
        <v>0.13947545251861668</v>
      </c>
      <c r="S140">
        <v>1.9985227093290123E-6</v>
      </c>
      <c r="T140">
        <v>69789.27578233245</v>
      </c>
      <c r="U140">
        <v>0.13947128367329628</v>
      </c>
      <c r="V140">
        <v>0.13947962136393707</v>
      </c>
    </row>
    <row r="141" spans="1:22" x14ac:dyDescent="0.2">
      <c r="E141" s="19">
        <f>E140*(E137*0.001)</f>
        <v>1.9884697465149237</v>
      </c>
      <c r="F141" t="s">
        <v>874</v>
      </c>
      <c r="G141" s="19">
        <f>G140*(G137*0.001)</f>
        <v>4.3838482914414421</v>
      </c>
      <c r="H141" t="s">
        <v>875</v>
      </c>
      <c r="O141" t="s">
        <v>876</v>
      </c>
      <c r="P141" t="s">
        <v>1096</v>
      </c>
      <c r="Q141" s="2" t="s">
        <v>877</v>
      </c>
      <c r="R141">
        <v>2.2555679105447939E-5</v>
      </c>
      <c r="S141">
        <v>6.5879046074793471E-7</v>
      </c>
      <c r="T141">
        <v>34.238017168372679</v>
      </c>
      <c r="U141">
        <v>2.1181466284851963E-5</v>
      </c>
      <c r="V141">
        <v>2.3929891926043911E-5</v>
      </c>
    </row>
    <row r="142" spans="1:22" x14ac:dyDescent="0.2">
      <c r="Q142" s="2" t="s">
        <v>878</v>
      </c>
      <c r="R142">
        <v>-7.5887149573464346E-3</v>
      </c>
      <c r="S142">
        <v>1.9085810562317547E-5</v>
      </c>
      <c r="T142">
        <v>-397.61030492094301</v>
      </c>
      <c r="U142">
        <v>-7.6285272605428498E-3</v>
      </c>
      <c r="V142">
        <v>-7.5489026541500194E-3</v>
      </c>
    </row>
    <row r="143" spans="1:22" x14ac:dyDescent="0.2">
      <c r="A143" s="3" t="s">
        <v>1150</v>
      </c>
      <c r="Q143" s="2" t="s">
        <v>879</v>
      </c>
      <c r="R143">
        <v>9.0100227568697605E-9</v>
      </c>
      <c r="S143">
        <v>2.0535155590418438E-9</v>
      </c>
      <c r="T143">
        <v>4.3876087118978413</v>
      </c>
      <c r="U143">
        <v>4.726464362103705E-9</v>
      </c>
      <c r="V143">
        <v>1.3293581151635817E-8</v>
      </c>
    </row>
    <row r="144" spans="1:22" x14ac:dyDescent="0.2">
      <c r="A144" t="s">
        <v>1213</v>
      </c>
      <c r="E144" s="17">
        <v>13.321999999999999</v>
      </c>
      <c r="G144" s="10">
        <f>E144</f>
        <v>13.321999999999999</v>
      </c>
      <c r="I144" t="s">
        <v>881</v>
      </c>
      <c r="Q144" s="2" t="s">
        <v>882</v>
      </c>
      <c r="R144">
        <v>1.2967836582075207E-4</v>
      </c>
      <c r="S144">
        <v>3.20570851908624E-6</v>
      </c>
      <c r="T144">
        <v>40.452325920672223</v>
      </c>
      <c r="U144">
        <v>1.2299137502701682E-4</v>
      </c>
      <c r="V144">
        <v>1.3636535661448734E-4</v>
      </c>
    </row>
    <row r="145" spans="1:21" ht="14.25" x14ac:dyDescent="0.2">
      <c r="A145" t="s">
        <v>1220</v>
      </c>
      <c r="E145" s="17">
        <v>7.4009704651234269</v>
      </c>
      <c r="F145" t="s">
        <v>1099</v>
      </c>
      <c r="G145" s="10">
        <f>(E145/0.45359)*(2.54^2)/10^2</f>
        <v>1.0526709374719525</v>
      </c>
      <c r="H145" t="s">
        <v>1100</v>
      </c>
      <c r="I145" t="s">
        <v>1235</v>
      </c>
      <c r="O145" s="20"/>
      <c r="P145" s="21"/>
      <c r="Q145" s="21"/>
      <c r="R145" s="22"/>
      <c r="S145" s="22"/>
      <c r="T145" s="22"/>
      <c r="U145" s="22"/>
    </row>
    <row r="146" spans="1:21" ht="14.25" x14ac:dyDescent="0.2">
      <c r="A146" t="s">
        <v>1221</v>
      </c>
      <c r="E146" s="19">
        <f>E141/E145</f>
        <v>0.26867689256232719</v>
      </c>
      <c r="F146" t="s">
        <v>1101</v>
      </c>
      <c r="G146" s="23">
        <f>E146*1000/(2.54^3)</f>
        <v>16.395669935891334</v>
      </c>
      <c r="H146" t="s">
        <v>1102</v>
      </c>
      <c r="O146" s="21"/>
      <c r="P146" s="21"/>
      <c r="Q146" s="21"/>
      <c r="R146" s="21"/>
      <c r="S146" s="22"/>
      <c r="T146" s="22"/>
      <c r="U146" s="22"/>
    </row>
    <row r="147" spans="1:21" x14ac:dyDescent="0.2">
      <c r="A147" t="s">
        <v>885</v>
      </c>
      <c r="E147" s="23">
        <f>10*(4*E146/(E144*PI()))^(1/3)</f>
        <v>2.9502376566409572</v>
      </c>
      <c r="F147" t="s">
        <v>834</v>
      </c>
      <c r="G147" s="23">
        <f>E147/2.54</f>
        <v>1.1615108884413217</v>
      </c>
      <c r="H147" t="s">
        <v>835</v>
      </c>
      <c r="O147" s="21"/>
      <c r="P147" s="21"/>
      <c r="Q147" s="21"/>
      <c r="R147" s="21"/>
      <c r="S147" s="24"/>
      <c r="T147" s="24"/>
      <c r="U147" s="24"/>
    </row>
    <row r="148" spans="1:21" x14ac:dyDescent="0.2">
      <c r="A148" t="s">
        <v>886</v>
      </c>
      <c r="E148" s="23">
        <f>E144*E147</f>
        <v>39.303066061770828</v>
      </c>
      <c r="F148" t="s">
        <v>834</v>
      </c>
      <c r="G148" s="23">
        <f>E148/2.54</f>
        <v>15.473648055815286</v>
      </c>
      <c r="H148" t="s">
        <v>835</v>
      </c>
      <c r="O148" s="25"/>
      <c r="P148" s="21"/>
      <c r="Q148" s="25"/>
      <c r="R148" s="26"/>
      <c r="S148" s="24"/>
      <c r="T148" s="24"/>
      <c r="U148" s="24"/>
    </row>
    <row r="149" spans="1:21" ht="14.25" x14ac:dyDescent="0.2">
      <c r="A149" t="s">
        <v>887</v>
      </c>
      <c r="E149" s="23">
        <f>E147*E147*PI()/4</f>
        <v>6.8360288263531439</v>
      </c>
      <c r="F149" t="s">
        <v>1103</v>
      </c>
      <c r="G149" s="23">
        <f>G147*G147*PI()/4</f>
        <v>1.0595865872579118</v>
      </c>
      <c r="H149" t="s">
        <v>1104</v>
      </c>
      <c r="I149">
        <f>E149*E148*E145/1000</f>
        <v>1.9884697465149248</v>
      </c>
      <c r="J149" t="s">
        <v>874</v>
      </c>
    </row>
    <row r="150" spans="1:21" ht="14.25" x14ac:dyDescent="0.2">
      <c r="A150" s="3" t="s">
        <v>1151</v>
      </c>
      <c r="E150" s="23">
        <f>0.9*E149</f>
        <v>6.1524259437178292</v>
      </c>
      <c r="F150" t="s">
        <v>1103</v>
      </c>
      <c r="G150" s="23">
        <f>0.9*G149</f>
        <v>0.95362792853212064</v>
      </c>
      <c r="H150" t="s">
        <v>1104</v>
      </c>
      <c r="I150" t="s">
        <v>1222</v>
      </c>
    </row>
    <row r="151" spans="1:21" x14ac:dyDescent="0.2">
      <c r="A151" s="3" t="s">
        <v>1223</v>
      </c>
      <c r="E151" s="27"/>
      <c r="F151" s="18"/>
      <c r="G151" s="27"/>
    </row>
    <row r="152" spans="1:21" x14ac:dyDescent="0.2">
      <c r="A152" s="157" t="s">
        <v>954</v>
      </c>
      <c r="B152" s="148"/>
      <c r="C152" s="148"/>
      <c r="D152" s="148"/>
      <c r="E152" s="149">
        <v>2.95</v>
      </c>
      <c r="F152" s="150" t="s">
        <v>834</v>
      </c>
      <c r="G152" s="158">
        <f>E152/2.54</f>
        <v>1.1614173228346458</v>
      </c>
      <c r="H152" s="131" t="s">
        <v>835</v>
      </c>
      <c r="I152" s="27"/>
    </row>
    <row r="153" spans="1:21" x14ac:dyDescent="0.2">
      <c r="A153" s="146" t="s">
        <v>1125</v>
      </c>
      <c r="B153" s="25"/>
      <c r="C153" s="25"/>
      <c r="D153" s="25"/>
      <c r="E153" s="152">
        <v>3</v>
      </c>
      <c r="F153" s="79" t="s">
        <v>834</v>
      </c>
      <c r="G153" s="159">
        <f>E153/2.54</f>
        <v>1.1811023622047243</v>
      </c>
      <c r="H153" s="133" t="s">
        <v>835</v>
      </c>
      <c r="I153" t="s">
        <v>1215</v>
      </c>
    </row>
    <row r="154" spans="1:21" x14ac:dyDescent="0.2">
      <c r="A154" s="146" t="s">
        <v>1214</v>
      </c>
      <c r="B154" s="25"/>
      <c r="C154" s="25"/>
      <c r="D154" s="25"/>
      <c r="E154" s="152">
        <v>40</v>
      </c>
      <c r="F154" s="79" t="s">
        <v>834</v>
      </c>
      <c r="G154" s="159">
        <f>E154/2.54</f>
        <v>15.748031496062993</v>
      </c>
      <c r="H154" s="133" t="s">
        <v>835</v>
      </c>
    </row>
    <row r="155" spans="1:21" x14ac:dyDescent="0.2">
      <c r="A155" s="141" t="s">
        <v>1232</v>
      </c>
      <c r="B155" s="142"/>
      <c r="C155" s="142"/>
      <c r="D155" s="142"/>
      <c r="E155" s="154">
        <f>(E153-E152)/2</f>
        <v>2.4999999999999911E-2</v>
      </c>
      <c r="F155" s="155" t="s">
        <v>834</v>
      </c>
      <c r="G155" s="156">
        <f>E155/2.54</f>
        <v>9.8425196850393352E-3</v>
      </c>
      <c r="H155" s="135" t="s">
        <v>835</v>
      </c>
    </row>
    <row r="156" spans="1:21" x14ac:dyDescent="0.2">
      <c r="A156" s="25"/>
      <c r="B156" s="25"/>
      <c r="C156" s="25"/>
      <c r="D156" s="25"/>
      <c r="E156" s="79"/>
      <c r="F156" s="79"/>
      <c r="G156" s="209"/>
      <c r="H156" s="25"/>
    </row>
    <row r="157" spans="1:21" x14ac:dyDescent="0.2">
      <c r="A157" s="3" t="s">
        <v>49</v>
      </c>
      <c r="E157" s="27"/>
      <c r="F157" s="18"/>
      <c r="G157" s="27"/>
    </row>
    <row r="158" spans="1:21" x14ac:dyDescent="0.2">
      <c r="A158" t="s">
        <v>889</v>
      </c>
      <c r="E158" s="23">
        <f>E148-E147</f>
        <v>36.35282840512987</v>
      </c>
      <c r="F158" t="s">
        <v>834</v>
      </c>
      <c r="G158" s="23">
        <f>G148-G147</f>
        <v>14.312137167373963</v>
      </c>
      <c r="H158" t="s">
        <v>835</v>
      </c>
    </row>
    <row r="159" spans="1:21" x14ac:dyDescent="0.2">
      <c r="E159" s="27"/>
      <c r="F159" s="18"/>
      <c r="G159" s="27"/>
    </row>
    <row r="160" spans="1:21" x14ac:dyDescent="0.2">
      <c r="A160" s="122" t="s">
        <v>890</v>
      </c>
      <c r="B160" s="87"/>
      <c r="C160" s="87"/>
      <c r="D160" s="87"/>
      <c r="E160" s="124"/>
      <c r="F160" s="87"/>
      <c r="G160" s="124"/>
      <c r="H160" s="87"/>
      <c r="I160" s="87"/>
      <c r="J160" s="87"/>
      <c r="K160" s="87"/>
      <c r="L160" s="87"/>
      <c r="M160" s="87"/>
      <c r="P160" t="s">
        <v>1190</v>
      </c>
    </row>
    <row r="161" spans="1:19" x14ac:dyDescent="0.2">
      <c r="A161" t="s">
        <v>891</v>
      </c>
      <c r="E161" s="28">
        <v>132.3949516435959</v>
      </c>
      <c r="F161" s="18" t="s">
        <v>837</v>
      </c>
      <c r="G161" s="29">
        <f>E161</f>
        <v>132.3949516435959</v>
      </c>
      <c r="H161" t="s">
        <v>837</v>
      </c>
      <c r="P161" t="s">
        <v>1191</v>
      </c>
    </row>
    <row r="162" spans="1:19" x14ac:dyDescent="0.2">
      <c r="A162" t="s">
        <v>892</v>
      </c>
      <c r="E162" s="28">
        <v>50</v>
      </c>
      <c r="F162" s="18" t="s">
        <v>893</v>
      </c>
      <c r="G162" s="29">
        <f>E162</f>
        <v>50</v>
      </c>
      <c r="H162" t="s">
        <v>893</v>
      </c>
      <c r="I162" t="s">
        <v>1175</v>
      </c>
      <c r="P162" t="s">
        <v>1010</v>
      </c>
      <c r="R162" t="s">
        <v>852</v>
      </c>
      <c r="S162">
        <v>7909</v>
      </c>
    </row>
    <row r="163" spans="1:19" x14ac:dyDescent="0.2">
      <c r="A163" s="30" t="s">
        <v>894</v>
      </c>
      <c r="E163" s="28">
        <v>10</v>
      </c>
      <c r="F163" s="18" t="s">
        <v>895</v>
      </c>
      <c r="G163" s="29">
        <f>E163</f>
        <v>10</v>
      </c>
      <c r="H163" t="s">
        <v>895</v>
      </c>
      <c r="I163" t="s">
        <v>896</v>
      </c>
      <c r="P163" t="s">
        <v>1182</v>
      </c>
    </row>
    <row r="164" spans="1:19" x14ac:dyDescent="0.2">
      <c r="A164" t="s">
        <v>897</v>
      </c>
      <c r="E164" s="29">
        <f>E161/(PI()*E162*E163)</f>
        <v>8.4285243977962956E-2</v>
      </c>
      <c r="F164" s="18" t="s">
        <v>898</v>
      </c>
      <c r="G164" s="29">
        <f>G161/(PI()*G162*G163)</f>
        <v>8.4285243977962956E-2</v>
      </c>
      <c r="H164" t="s">
        <v>898</v>
      </c>
      <c r="I164" t="s">
        <v>405</v>
      </c>
      <c r="P164" s="130" t="s">
        <v>844</v>
      </c>
      <c r="Q164" s="131" t="s">
        <v>845</v>
      </c>
    </row>
    <row r="165" spans="1:19" x14ac:dyDescent="0.2">
      <c r="E165" s="31"/>
      <c r="F165" s="18"/>
      <c r="G165" s="31"/>
      <c r="P165" s="132" t="s">
        <v>850</v>
      </c>
      <c r="Q165" s="133">
        <v>8.103163113762352E-3</v>
      </c>
    </row>
    <row r="166" spans="1:19" x14ac:dyDescent="0.2">
      <c r="E166" s="31"/>
      <c r="F166" s="18"/>
      <c r="G166" s="31"/>
      <c r="P166" s="132" t="s">
        <v>853</v>
      </c>
      <c r="Q166" s="133">
        <v>-0.34462926854037529</v>
      </c>
    </row>
    <row r="167" spans="1:19" x14ac:dyDescent="0.2">
      <c r="A167" t="s">
        <v>1174</v>
      </c>
      <c r="E167" s="32">
        <f xml:space="preserve"> ($Q$165+$Q$167*E144+$Q$169*E144*E144+$Q$171*E144*E144*E144+$Q$173*E144^4+$Q$175*E144^5)/(1+$Q$166*E144+$Q$168*E144*E144+$Q$170*E144*E144*E144+$Q$172*E144^4+$Q$174*E144^5)</f>
        <v>323.6962605255282</v>
      </c>
      <c r="F167" s="33"/>
      <c r="G167" s="32">
        <f xml:space="preserve"> ($Q$165+$Q$167*G144+$Q$169*G144*G144+$Q$171*G144*G144*G144+$Q$173*G144^4+$Q$175*G144^5)/(1+$Q$166*G144+$Q$168*G144*G144+$Q$170*G144*G144*G144+$Q$172*G144^4+$Q$174*G144^5)</f>
        <v>323.6962605255282</v>
      </c>
      <c r="P167" s="132" t="s">
        <v>858</v>
      </c>
      <c r="Q167" s="133">
        <v>6.6646780511440982</v>
      </c>
    </row>
    <row r="168" spans="1:19" x14ac:dyDescent="0.2">
      <c r="A168" t="s">
        <v>900</v>
      </c>
      <c r="E168" s="16">
        <f>10000*SQRT(E164*E148/(0.9*(E149/2.54)*E167))</f>
        <v>650.0006778807915</v>
      </c>
      <c r="F168" t="s">
        <v>913</v>
      </c>
      <c r="G168" s="16">
        <f>10000*SQRT((G164*G148)/(0.9*G149*G167))</f>
        <v>650.0006778807915</v>
      </c>
      <c r="H168" t="s">
        <v>913</v>
      </c>
      <c r="P168" s="132" t="s">
        <v>861</v>
      </c>
      <c r="Q168" s="133">
        <v>5.1350947397014741E-2</v>
      </c>
    </row>
    <row r="169" spans="1:19" ht="14.25" x14ac:dyDescent="0.2">
      <c r="A169" t="s">
        <v>901</v>
      </c>
      <c r="E169" s="28">
        <v>3.8438067933765026</v>
      </c>
      <c r="F169" s="18" t="s">
        <v>1105</v>
      </c>
      <c r="G169" s="29">
        <f>E169*(25.4)^2</f>
        <v>2479.8703908147841</v>
      </c>
      <c r="H169" t="s">
        <v>1106</v>
      </c>
      <c r="P169" s="132" t="s">
        <v>863</v>
      </c>
      <c r="Q169" s="133">
        <v>-2.0595087169572923</v>
      </c>
    </row>
    <row r="170" spans="1:19" ht="14.25" x14ac:dyDescent="0.2">
      <c r="A170" t="s">
        <v>1224</v>
      </c>
      <c r="E170" s="29">
        <f>E163/E169</f>
        <v>2.601587576470183</v>
      </c>
      <c r="F170" t="s">
        <v>1107</v>
      </c>
      <c r="G170" s="29">
        <f>G163/G169</f>
        <v>4.0324688084664006E-3</v>
      </c>
      <c r="H170" t="s">
        <v>1104</v>
      </c>
      <c r="P170" s="132" t="s">
        <v>866</v>
      </c>
      <c r="Q170" s="133">
        <v>-4.0299264697933367E-3</v>
      </c>
      <c r="R170" t="s">
        <v>1195</v>
      </c>
    </row>
    <row r="171" spans="1:19" x14ac:dyDescent="0.2">
      <c r="A171" t="s">
        <v>1225</v>
      </c>
      <c r="E171" s="29">
        <f>SQRT(4*E170/PI())</f>
        <v>1.8200121377214908</v>
      </c>
      <c r="F171" s="18" t="s">
        <v>904</v>
      </c>
      <c r="G171" s="29">
        <f>SQRT(4*G170/PI())</f>
        <v>7.1654021170137444E-2</v>
      </c>
      <c r="H171" t="s">
        <v>835</v>
      </c>
      <c r="J171" t="s">
        <v>713</v>
      </c>
      <c r="L171" t="s">
        <v>714</v>
      </c>
      <c r="N171" s="18"/>
      <c r="P171" s="132" t="s">
        <v>873</v>
      </c>
      <c r="Q171" s="133">
        <v>0.34222426119485005</v>
      </c>
    </row>
    <row r="172" spans="1:19" x14ac:dyDescent="0.2">
      <c r="A172" t="s">
        <v>1226</v>
      </c>
      <c r="E172" s="28">
        <v>1.82</v>
      </c>
      <c r="F172" s="18" t="s">
        <v>904</v>
      </c>
      <c r="G172" s="29">
        <f>E172/25.4</f>
        <v>7.165354330708662E-2</v>
      </c>
      <c r="H172" t="s">
        <v>1186</v>
      </c>
      <c r="I172" s="121">
        <f>18.2054244290934-8.62881347370181*LN(E172)</f>
        <v>13.038175959954744</v>
      </c>
      <c r="J172" t="s">
        <v>1181</v>
      </c>
      <c r="K172" s="126">
        <f>($Q$184+$Q$186*SQRT(E172)+$Q$188*E172+$Q$202*E172*SQRT(E172)+$Q$204*E172*E172+$Q$206*E172*E172*SQRT(E172))/(1+$Q$183*SQRT(E172)+$Q$187*E172+$Q$189*E172*SQRT(E172)+$Q$203*E172*E172+$Q$205*E172*E172*SQRT(E172))</f>
        <v>14.957137094954685</v>
      </c>
      <c r="L172" t="s">
        <v>1194</v>
      </c>
      <c r="N172" s="18"/>
      <c r="P172" s="132" t="s">
        <v>877</v>
      </c>
      <c r="Q172" s="133">
        <v>1.6091340444311558E-4</v>
      </c>
    </row>
    <row r="173" spans="1:19" x14ac:dyDescent="0.2">
      <c r="A173" t="s">
        <v>1227</v>
      </c>
      <c r="E173" s="28">
        <v>2.1539999999999999</v>
      </c>
      <c r="F173" s="18" t="s">
        <v>904</v>
      </c>
      <c r="G173" s="29">
        <f>E173/25.4</f>
        <v>8.4803149606299214E-2</v>
      </c>
      <c r="H173" t="s">
        <v>835</v>
      </c>
      <c r="I173" t="s">
        <v>907</v>
      </c>
      <c r="P173" s="132" t="s">
        <v>878</v>
      </c>
      <c r="Q173" s="133">
        <v>-3.2967531556915383E-2</v>
      </c>
    </row>
    <row r="174" spans="1:19" x14ac:dyDescent="0.2">
      <c r="A174" t="s">
        <v>908</v>
      </c>
      <c r="E174" s="29">
        <f>10/E173</f>
        <v>4.6425255338904368</v>
      </c>
      <c r="F174" s="18" t="s">
        <v>909</v>
      </c>
      <c r="G174" s="29">
        <f>1/G173</f>
        <v>11.792014856081709</v>
      </c>
      <c r="H174" t="s">
        <v>910</v>
      </c>
      <c r="P174" s="132" t="s">
        <v>879</v>
      </c>
      <c r="Q174" s="133">
        <v>-1.7204994913897629E-6</v>
      </c>
    </row>
    <row r="175" spans="1:19" x14ac:dyDescent="0.2">
      <c r="A175" t="s">
        <v>911</v>
      </c>
      <c r="E175" s="29">
        <f>G175/2.54</f>
        <v>4.6425260000000002</v>
      </c>
      <c r="F175" s="18" t="s">
        <v>909</v>
      </c>
      <c r="G175" s="28">
        <v>11.79201604</v>
      </c>
      <c r="H175" t="s">
        <v>910</v>
      </c>
      <c r="I175" t="s">
        <v>907</v>
      </c>
      <c r="P175" s="134" t="s">
        <v>882</v>
      </c>
      <c r="Q175" s="135">
        <v>1.4687120796037577E-3</v>
      </c>
    </row>
    <row r="176" spans="1:19" x14ac:dyDescent="0.2">
      <c r="A176" t="s">
        <v>912</v>
      </c>
      <c r="C176" s="16">
        <f>E168</f>
        <v>650.0006778807915</v>
      </c>
      <c r="D176" t="s">
        <v>913</v>
      </c>
      <c r="E176" s="29">
        <f>E168/E175</f>
        <v>140.01013195850524</v>
      </c>
      <c r="F176" s="18" t="s">
        <v>834</v>
      </c>
      <c r="G176" s="29">
        <f>G168/G175</f>
        <v>55.122099196261907</v>
      </c>
      <c r="H176" t="s">
        <v>835</v>
      </c>
    </row>
    <row r="177" spans="1:18" x14ac:dyDescent="0.2">
      <c r="P177" t="s">
        <v>1184</v>
      </c>
    </row>
    <row r="178" spans="1:18" x14ac:dyDescent="0.2">
      <c r="A178" t="s">
        <v>914</v>
      </c>
      <c r="E178" s="29">
        <f>E176/E158</f>
        <v>3.8514233445106005</v>
      </c>
      <c r="F178" s="18"/>
      <c r="G178" s="29">
        <f>G176/G158</f>
        <v>3.851423344510601</v>
      </c>
      <c r="P178" t="s">
        <v>1185</v>
      </c>
    </row>
    <row r="179" spans="1:18" x14ac:dyDescent="0.2">
      <c r="A179" t="s">
        <v>915</v>
      </c>
      <c r="E179" s="28">
        <v>4</v>
      </c>
      <c r="F179" s="18"/>
      <c r="G179" s="29">
        <f>E179</f>
        <v>4</v>
      </c>
      <c r="I179" t="s">
        <v>916</v>
      </c>
      <c r="K179" s="79"/>
      <c r="L179" s="127"/>
      <c r="M179" s="79"/>
      <c r="N179" s="128"/>
      <c r="P179" s="125" t="s">
        <v>1192</v>
      </c>
    </row>
    <row r="180" spans="1:18" x14ac:dyDescent="0.2">
      <c r="A180" t="s">
        <v>917</v>
      </c>
      <c r="E180" s="28">
        <v>35.299999999999997</v>
      </c>
      <c r="F180" s="18" t="s">
        <v>834</v>
      </c>
      <c r="G180" s="29">
        <f>E180/2.54</f>
        <v>13.897637795275589</v>
      </c>
      <c r="H180" t="s">
        <v>835</v>
      </c>
      <c r="I180" s="37" t="s">
        <v>195</v>
      </c>
      <c r="K180" s="127"/>
      <c r="L180" s="127"/>
      <c r="M180" s="129"/>
      <c r="N180" s="128"/>
      <c r="P180" t="s">
        <v>1193</v>
      </c>
    </row>
    <row r="181" spans="1:18" x14ac:dyDescent="0.2">
      <c r="A181" t="s">
        <v>918</v>
      </c>
      <c r="E181" s="29">
        <f>E179*E180*E175</f>
        <v>655.52467119999994</v>
      </c>
      <c r="F181" t="s">
        <v>913</v>
      </c>
      <c r="G181" s="29">
        <f>G179*G180*G175</f>
        <v>655.52467119999994</v>
      </c>
      <c r="H181" t="s">
        <v>913</v>
      </c>
      <c r="K181" s="127"/>
      <c r="L181" s="127"/>
      <c r="M181" s="129"/>
      <c r="N181" s="128"/>
      <c r="P181" t="s">
        <v>1183</v>
      </c>
    </row>
    <row r="182" spans="1:18" x14ac:dyDescent="0.2">
      <c r="E182" s="31"/>
      <c r="F182" s="18"/>
      <c r="G182" s="31"/>
      <c r="K182" s="127"/>
      <c r="L182" s="127"/>
      <c r="M182" s="129"/>
      <c r="N182" s="128"/>
      <c r="P182" s="130" t="s">
        <v>844</v>
      </c>
      <c r="Q182" s="131" t="s">
        <v>845</v>
      </c>
    </row>
    <row r="183" spans="1:18" x14ac:dyDescent="0.2">
      <c r="A183" s="147" t="s">
        <v>73</v>
      </c>
      <c r="E183" s="28">
        <v>0</v>
      </c>
      <c r="F183" s="18" t="s">
        <v>904</v>
      </c>
      <c r="G183" s="29">
        <f>E183/25.4</f>
        <v>0</v>
      </c>
      <c r="H183" t="s">
        <v>835</v>
      </c>
      <c r="I183" s="30" t="s">
        <v>74</v>
      </c>
      <c r="K183" s="127"/>
      <c r="L183" s="127"/>
      <c r="M183" s="129"/>
      <c r="N183" s="128"/>
      <c r="P183" s="132" t="s">
        <v>853</v>
      </c>
      <c r="Q183" s="133">
        <v>-6.7817047817110376</v>
      </c>
    </row>
    <row r="184" spans="1:18" x14ac:dyDescent="0.2">
      <c r="A184" t="s">
        <v>1233</v>
      </c>
      <c r="E184" s="28">
        <v>10</v>
      </c>
      <c r="F184" s="18" t="s">
        <v>904</v>
      </c>
      <c r="G184" s="29">
        <f>E184/25.4</f>
        <v>0.39370078740157483</v>
      </c>
      <c r="H184" t="s">
        <v>835</v>
      </c>
      <c r="I184" t="s">
        <v>75</v>
      </c>
      <c r="K184" s="127"/>
      <c r="L184" s="127"/>
      <c r="M184" s="129"/>
      <c r="N184" s="128"/>
      <c r="P184" s="132" t="s">
        <v>850</v>
      </c>
      <c r="Q184" s="133">
        <v>48.499456691926625</v>
      </c>
    </row>
    <row r="185" spans="1:18" x14ac:dyDescent="0.2">
      <c r="A185" t="s">
        <v>102</v>
      </c>
      <c r="E185" s="29">
        <f>0.8912*E179*E173</f>
        <v>7.6785791999999997</v>
      </c>
      <c r="F185" s="18" t="s">
        <v>904</v>
      </c>
      <c r="G185" s="29">
        <f>G179*G173</f>
        <v>0.33921259842519685</v>
      </c>
      <c r="H185" t="s">
        <v>835</v>
      </c>
      <c r="I185" s="37" t="s">
        <v>715</v>
      </c>
    </row>
    <row r="186" spans="1:18" x14ac:dyDescent="0.2">
      <c r="A186" t="s">
        <v>92</v>
      </c>
      <c r="E186" s="29">
        <f>10*E153+2*(E183+E185)</f>
        <v>45.357158400000003</v>
      </c>
      <c r="F186" s="18" t="s">
        <v>904</v>
      </c>
      <c r="G186" s="29">
        <f>G147+2*(G183+G185)</f>
        <v>1.8399360852917153</v>
      </c>
      <c r="H186" t="s">
        <v>835</v>
      </c>
      <c r="I186" t="s">
        <v>1234</v>
      </c>
      <c r="K186" s="127"/>
      <c r="L186" s="127"/>
      <c r="M186" s="129"/>
      <c r="N186" s="128"/>
      <c r="P186" s="132" t="s">
        <v>858</v>
      </c>
      <c r="Q186" s="133">
        <v>-302.28512719754991</v>
      </c>
    </row>
    <row r="187" spans="1:18" x14ac:dyDescent="0.2">
      <c r="A187" t="s">
        <v>1229</v>
      </c>
      <c r="E187" s="29">
        <f>E186+2*E184</f>
        <v>65.357158400000003</v>
      </c>
      <c r="F187" s="18" t="s">
        <v>904</v>
      </c>
      <c r="G187" s="29">
        <f>E187/25.4</f>
        <v>2.5731164724409452</v>
      </c>
      <c r="H187" t="s">
        <v>835</v>
      </c>
      <c r="K187" s="127"/>
      <c r="L187" s="127"/>
      <c r="M187" s="129"/>
      <c r="N187" s="128"/>
      <c r="P187" s="132" t="s">
        <v>861</v>
      </c>
      <c r="Q187" s="133">
        <v>23.262370231416252</v>
      </c>
    </row>
    <row r="188" spans="1:18" x14ac:dyDescent="0.2">
      <c r="A188" t="s">
        <v>1217</v>
      </c>
      <c r="E188" s="16">
        <f>10*E148</f>
        <v>393.03066061770829</v>
      </c>
      <c r="F188" s="18" t="s">
        <v>904</v>
      </c>
      <c r="G188" s="16">
        <f>G148</f>
        <v>15.473648055815286</v>
      </c>
      <c r="H188" t="s">
        <v>835</v>
      </c>
      <c r="I188" t="s">
        <v>921</v>
      </c>
      <c r="K188" s="127"/>
      <c r="L188" s="127"/>
      <c r="M188" s="129"/>
      <c r="N188" s="128"/>
      <c r="P188" s="132" t="s">
        <v>863</v>
      </c>
      <c r="Q188" s="133">
        <v>901.98895838110639</v>
      </c>
    </row>
    <row r="189" spans="1:18" x14ac:dyDescent="0.2">
      <c r="M189" s="129"/>
      <c r="N189" s="128"/>
      <c r="P189" s="132" t="s">
        <v>866</v>
      </c>
      <c r="Q189" s="133">
        <v>-43.445806766984532</v>
      </c>
      <c r="R189" t="s">
        <v>1195</v>
      </c>
    </row>
    <row r="190" spans="1:18" x14ac:dyDescent="0.2">
      <c r="A190" t="s">
        <v>1126</v>
      </c>
      <c r="E190" s="39">
        <f>PI()*(10*E153+E186)/2</f>
        <v>118.37074761242118</v>
      </c>
      <c r="F190" t="s">
        <v>904</v>
      </c>
      <c r="G190" s="10">
        <f>E190/25.4</f>
        <v>4.6602656540323304</v>
      </c>
      <c r="H190" t="s">
        <v>835</v>
      </c>
      <c r="M190" s="129"/>
      <c r="N190" s="128"/>
      <c r="P190" s="132"/>
      <c r="Q190" s="133"/>
    </row>
    <row r="191" spans="1:18" x14ac:dyDescent="0.2">
      <c r="A191" t="s">
        <v>1127</v>
      </c>
      <c r="E191" s="16">
        <f>E190*E181/1000</f>
        <v>77.594945408330574</v>
      </c>
      <c r="F191" t="s">
        <v>980</v>
      </c>
      <c r="G191" s="10">
        <f>E191/0.3048</f>
        <v>254.5765925470163</v>
      </c>
      <c r="H191" t="s">
        <v>1064</v>
      </c>
      <c r="P191" s="132"/>
      <c r="Q191" s="133"/>
    </row>
    <row r="192" spans="1:18" x14ac:dyDescent="0.2">
      <c r="A192" t="s">
        <v>119</v>
      </c>
      <c r="E192" s="225">
        <f>E191*0.01786/(E172^2*PI()/4)</f>
        <v>0.53269942638660295</v>
      </c>
      <c r="F192" t="s">
        <v>965</v>
      </c>
      <c r="G192" s="225">
        <f>E192</f>
        <v>0.53269942638660295</v>
      </c>
      <c r="H192" t="s">
        <v>965</v>
      </c>
      <c r="I192" t="s">
        <v>113</v>
      </c>
      <c r="M192" s="41"/>
      <c r="P192" s="132"/>
      <c r="Q192" s="133"/>
    </row>
    <row r="193" spans="1:17" x14ac:dyDescent="0.2">
      <c r="A193" t="s">
        <v>114</v>
      </c>
      <c r="C193">
        <f>E181</f>
        <v>655.52467119999994</v>
      </c>
      <c r="D193" t="s">
        <v>913</v>
      </c>
      <c r="E193" s="225">
        <f>0.00000001*E181*E181*E149*E167/(2.54*E148)</f>
        <v>9.5248797707802063E-2</v>
      </c>
      <c r="F193" t="s">
        <v>898</v>
      </c>
      <c r="G193" s="225">
        <f>0.00000001*G181*G181*G149*G167/G148</f>
        <v>9.5248797707802063E-2</v>
      </c>
      <c r="H193" t="s">
        <v>898</v>
      </c>
      <c r="M193" s="41"/>
      <c r="P193" s="132"/>
      <c r="Q193" s="133"/>
    </row>
    <row r="194" spans="1:17" x14ac:dyDescent="0.2">
      <c r="A194" t="s">
        <v>93</v>
      </c>
      <c r="E194" s="19">
        <f>10*E191*(0.01*E173)^2*PI()*8.93/4</f>
        <v>2.5250278356371902</v>
      </c>
      <c r="F194" t="s">
        <v>874</v>
      </c>
      <c r="G194" s="10">
        <f>E194/0.45359</f>
        <v>5.5667625733309603</v>
      </c>
      <c r="H194" t="s">
        <v>94</v>
      </c>
      <c r="M194" s="129"/>
      <c r="N194" s="128"/>
      <c r="P194" s="132"/>
      <c r="Q194" s="133"/>
    </row>
    <row r="195" spans="1:17" x14ac:dyDescent="0.2">
      <c r="M195" s="129"/>
      <c r="N195" s="128"/>
      <c r="P195" s="132"/>
      <c r="Q195" s="133"/>
    </row>
    <row r="196" spans="1:17" x14ac:dyDescent="0.2">
      <c r="A196" s="3" t="s">
        <v>1228</v>
      </c>
      <c r="K196" s="127"/>
      <c r="L196" s="127"/>
      <c r="M196" s="129"/>
      <c r="N196" s="128"/>
      <c r="P196" s="132"/>
      <c r="Q196" s="133"/>
    </row>
    <row r="197" spans="1:17" x14ac:dyDescent="0.2">
      <c r="A197" s="130" t="s">
        <v>1230</v>
      </c>
      <c r="B197" s="148"/>
      <c r="C197" s="148"/>
      <c r="D197" s="148"/>
      <c r="E197" s="149">
        <v>45</v>
      </c>
      <c r="F197" s="150" t="s">
        <v>904</v>
      </c>
      <c r="G197" s="151">
        <f>E197/25.4</f>
        <v>1.7716535433070868</v>
      </c>
      <c r="H197" s="131" t="s">
        <v>835</v>
      </c>
      <c r="K197" s="127"/>
      <c r="L197" s="127"/>
      <c r="M197" s="129"/>
      <c r="N197" s="128"/>
      <c r="P197" s="132"/>
      <c r="Q197" s="133"/>
    </row>
    <row r="198" spans="1:17" x14ac:dyDescent="0.2">
      <c r="A198" s="144" t="s">
        <v>1231</v>
      </c>
      <c r="B198" s="25"/>
      <c r="C198" s="25"/>
      <c r="D198" s="25"/>
      <c r="E198" s="152">
        <v>65</v>
      </c>
      <c r="F198" s="79" t="s">
        <v>904</v>
      </c>
      <c r="G198" s="153">
        <f>E198/25.4</f>
        <v>2.5590551181102366</v>
      </c>
      <c r="H198" s="133" t="s">
        <v>835</v>
      </c>
      <c r="I198" t="s">
        <v>196</v>
      </c>
      <c r="K198" s="127"/>
      <c r="L198" s="127"/>
      <c r="M198" s="129"/>
      <c r="N198" s="128"/>
      <c r="P198" s="132"/>
      <c r="Q198" s="133"/>
    </row>
    <row r="199" spans="1:17" x14ac:dyDescent="0.2">
      <c r="A199" s="144" t="s">
        <v>1218</v>
      </c>
      <c r="B199" s="25"/>
      <c r="C199" s="25"/>
      <c r="D199" s="25"/>
      <c r="E199" s="152">
        <v>400</v>
      </c>
      <c r="F199" s="79" t="s">
        <v>904</v>
      </c>
      <c r="G199" s="153">
        <f>E199/25.4</f>
        <v>15.748031496062993</v>
      </c>
      <c r="H199" s="133" t="s">
        <v>835</v>
      </c>
      <c r="K199" s="127"/>
      <c r="L199" s="127"/>
      <c r="M199" s="129"/>
      <c r="N199" s="128"/>
      <c r="P199" s="132"/>
      <c r="Q199" s="133"/>
    </row>
    <row r="200" spans="1:17" x14ac:dyDescent="0.2">
      <c r="A200" s="141" t="s">
        <v>1232</v>
      </c>
      <c r="B200" s="142"/>
      <c r="C200" s="142"/>
      <c r="D200" s="142"/>
      <c r="E200" s="154">
        <f>(E198-E197)/2</f>
        <v>10</v>
      </c>
      <c r="F200" s="155" t="s">
        <v>904</v>
      </c>
      <c r="G200" s="156">
        <f>E200/25.4</f>
        <v>0.39370078740157483</v>
      </c>
      <c r="H200" s="135" t="s">
        <v>835</v>
      </c>
      <c r="K200" s="127"/>
      <c r="L200" s="127"/>
      <c r="M200" s="129"/>
      <c r="N200" s="128"/>
      <c r="P200" s="132"/>
      <c r="Q200" s="133"/>
    </row>
    <row r="201" spans="1:17" x14ac:dyDescent="0.2">
      <c r="E201" s="34"/>
      <c r="F201" s="18"/>
      <c r="G201" s="34"/>
      <c r="K201" s="127"/>
      <c r="L201" s="127"/>
      <c r="M201" s="129"/>
      <c r="N201" s="128"/>
      <c r="P201" s="132"/>
      <c r="Q201" s="133"/>
    </row>
    <row r="202" spans="1:17" x14ac:dyDescent="0.2">
      <c r="A202" s="122" t="s">
        <v>922</v>
      </c>
      <c r="B202" s="87"/>
      <c r="C202" s="87"/>
      <c r="D202" s="87"/>
      <c r="E202" s="123"/>
      <c r="F202" s="87"/>
      <c r="G202" s="123"/>
      <c r="H202" s="87"/>
      <c r="I202" s="87"/>
      <c r="J202" s="87"/>
      <c r="K202" s="87"/>
      <c r="L202" s="87"/>
      <c r="M202" s="87"/>
      <c r="N202" s="128"/>
      <c r="P202" s="132" t="s">
        <v>873</v>
      </c>
      <c r="Q202" s="133">
        <v>-1608.0731090483487</v>
      </c>
    </row>
    <row r="203" spans="1:17" x14ac:dyDescent="0.2">
      <c r="A203" s="3"/>
      <c r="E203" s="31"/>
      <c r="F203" s="18"/>
      <c r="G203" s="31"/>
      <c r="K203" s="127"/>
      <c r="L203" s="127"/>
      <c r="M203" s="129"/>
      <c r="N203" s="128"/>
      <c r="P203" s="132" t="s">
        <v>877</v>
      </c>
      <c r="Q203" s="133">
        <v>32.747527154612811</v>
      </c>
    </row>
    <row r="204" spans="1:17" x14ac:dyDescent="0.2">
      <c r="A204" s="36" t="s">
        <v>940</v>
      </c>
      <c r="E204" s="31"/>
      <c r="F204" s="18"/>
      <c r="G204" s="31"/>
      <c r="K204" s="127"/>
      <c r="L204" s="127"/>
      <c r="M204" s="129"/>
      <c r="N204" s="128"/>
      <c r="P204" s="132" t="s">
        <v>878</v>
      </c>
      <c r="Q204" s="133">
        <v>1473.6216622650322</v>
      </c>
    </row>
    <row r="205" spans="1:17" ht="15.75" x14ac:dyDescent="0.3">
      <c r="A205" s="37" t="s">
        <v>941</v>
      </c>
      <c r="E205" s="28">
        <v>132.3949516435959</v>
      </c>
      <c r="F205" s="18" t="s">
        <v>942</v>
      </c>
      <c r="G205" s="31"/>
      <c r="I205" s="37" t="s">
        <v>1110</v>
      </c>
      <c r="K205" s="127"/>
      <c r="L205" s="127"/>
      <c r="M205" s="129"/>
      <c r="N205" s="128"/>
      <c r="P205" s="132" t="s">
        <v>879</v>
      </c>
      <c r="Q205" s="133">
        <v>1.5143150437090254</v>
      </c>
    </row>
    <row r="206" spans="1:17" ht="15.75" x14ac:dyDescent="0.3">
      <c r="A206" s="37" t="s">
        <v>943</v>
      </c>
      <c r="E206" s="38">
        <f xml:space="preserve"> 1 / (SQRT(2)*PI() * E162* (E220 * E150) * 0.00000001)</f>
        <v>7.8674666958678285</v>
      </c>
      <c r="F206" t="s">
        <v>1111</v>
      </c>
      <c r="H206" s="117">
        <f>E150</f>
        <v>6.1524259437178292</v>
      </c>
      <c r="I206" s="37" t="s">
        <v>1112</v>
      </c>
      <c r="K206" s="127"/>
      <c r="L206" s="127"/>
      <c r="M206" s="129"/>
      <c r="N206" s="128"/>
      <c r="P206" s="134" t="s">
        <v>882</v>
      </c>
      <c r="Q206" s="135">
        <v>-352.61428696897144</v>
      </c>
    </row>
    <row r="207" spans="1:17" ht="15.75" x14ac:dyDescent="0.3">
      <c r="A207" s="37" t="s">
        <v>944</v>
      </c>
      <c r="E207" s="16">
        <f>E205 / (SQRT(2)*PI() * E162* (E220 * E150) * 0.00000001)</f>
        <v>1041.6128727570224</v>
      </c>
      <c r="F207" s="18" t="s">
        <v>913</v>
      </c>
      <c r="G207" s="31"/>
      <c r="H207" s="119" t="s">
        <v>1176</v>
      </c>
      <c r="I207" s="37" t="s">
        <v>1113</v>
      </c>
    </row>
    <row r="208" spans="1:17" ht="15.75" x14ac:dyDescent="0.3">
      <c r="A208" s="37" t="s">
        <v>945</v>
      </c>
      <c r="E208" s="29">
        <f>E137</f>
        <v>292.25655276276279</v>
      </c>
      <c r="F208" s="18" t="s">
        <v>843</v>
      </c>
      <c r="G208" s="29">
        <f>G137</f>
        <v>292.25655276276279</v>
      </c>
      <c r="H208" t="s">
        <v>843</v>
      </c>
      <c r="I208" s="37" t="s">
        <v>1114</v>
      </c>
      <c r="J208" s="37"/>
      <c r="K208" s="37"/>
      <c r="L208" s="37"/>
      <c r="M208" s="37" t="s">
        <v>946</v>
      </c>
    </row>
    <row r="209" spans="1:15" ht="15.75" x14ac:dyDescent="0.3">
      <c r="A209" s="37" t="s">
        <v>947</v>
      </c>
      <c r="E209" s="16">
        <f xml:space="preserve"> E208 / (SQRT(2)*PI() * E162* (E220 * E150) * E163* 0.00000001)</f>
        <v>229.93186955101751</v>
      </c>
      <c r="F209" s="18" t="s">
        <v>913</v>
      </c>
      <c r="G209" s="16">
        <f xml:space="preserve"> G208 / (SQRT(2)*PI() * G162* (G220 * G150) * G163* 0.00000001)</f>
        <v>229.93186955101748</v>
      </c>
      <c r="H209" s="18" t="s">
        <v>913</v>
      </c>
      <c r="I209" s="37" t="s">
        <v>1115</v>
      </c>
      <c r="J209" s="37"/>
      <c r="K209" s="37"/>
      <c r="L209" s="37"/>
      <c r="M209" s="37" t="s">
        <v>1116</v>
      </c>
    </row>
    <row r="210" spans="1:15" ht="15.75" x14ac:dyDescent="0.3">
      <c r="A210" s="37" t="s">
        <v>948</v>
      </c>
      <c r="E210" s="39">
        <f xml:space="preserve"> E208 / (SQRT(2)*PI() * E162 * E220  * (E168 * E163) * 0.00000001)</f>
        <v>2.1763651141494118</v>
      </c>
      <c r="F210" t="s">
        <v>1103</v>
      </c>
      <c r="G210" s="23">
        <f xml:space="preserve"> G208 / (SQRT(2)*PI() * G162 * G220  * (G168 * G163) * 0.00000001)</f>
        <v>0.33733726736769354</v>
      </c>
      <c r="H210" t="s">
        <v>1104</v>
      </c>
      <c r="I210" s="37" t="s">
        <v>1117</v>
      </c>
      <c r="J210" s="37"/>
      <c r="K210" s="37"/>
      <c r="L210" s="37"/>
      <c r="M210" s="37" t="s">
        <v>949</v>
      </c>
      <c r="O210" s="118">
        <f>E168</f>
        <v>650.0006778807915</v>
      </c>
    </row>
    <row r="211" spans="1:15" ht="15.75" x14ac:dyDescent="0.3">
      <c r="A211" s="37" t="s">
        <v>948</v>
      </c>
      <c r="E211" s="39">
        <f>E208 / (SQRT(2)*PI() * E162 * E220  * (E209 * E163) * 0.00000001)</f>
        <v>6.1524259437178301</v>
      </c>
      <c r="F211" t="s">
        <v>1103</v>
      </c>
      <c r="G211" s="23">
        <f>G208 / (SQRT(2)*PI() * G162 * G220  * (G209 * G163) * 0.00000001)</f>
        <v>0.95362792853212075</v>
      </c>
      <c r="H211" t="s">
        <v>1104</v>
      </c>
      <c r="I211" s="37" t="s">
        <v>1117</v>
      </c>
      <c r="J211" s="37"/>
      <c r="K211" s="37"/>
      <c r="L211" s="37"/>
      <c r="M211" s="37" t="s">
        <v>949</v>
      </c>
      <c r="O211" s="118">
        <f>E209</f>
        <v>229.93186955101751</v>
      </c>
    </row>
    <row r="213" spans="1:15" x14ac:dyDescent="0.2">
      <c r="E213" s="31"/>
      <c r="F213" s="18"/>
      <c r="G213" s="31"/>
    </row>
    <row r="214" spans="1:15" x14ac:dyDescent="0.2">
      <c r="A214" s="3" t="s">
        <v>923</v>
      </c>
      <c r="E214" s="27"/>
      <c r="F214" s="18"/>
      <c r="G214" s="27"/>
    </row>
    <row r="215" spans="1:15" x14ac:dyDescent="0.2">
      <c r="A215" t="s">
        <v>924</v>
      </c>
      <c r="E215" s="23">
        <f>0.5502*E158</f>
        <v>20.001326188502457</v>
      </c>
      <c r="F215" t="s">
        <v>834</v>
      </c>
      <c r="G215" s="23">
        <f>0.8*G158</f>
        <v>11.449709733899171</v>
      </c>
      <c r="H215" t="s">
        <v>835</v>
      </c>
    </row>
    <row r="217" spans="1:15" x14ac:dyDescent="0.2">
      <c r="A217" s="122" t="s">
        <v>925</v>
      </c>
      <c r="B217" s="87"/>
      <c r="C217" s="87"/>
      <c r="D217" s="87"/>
      <c r="E217" s="123"/>
      <c r="F217" s="87"/>
      <c r="G217" s="123"/>
      <c r="H217" s="87"/>
      <c r="I217" s="87"/>
      <c r="J217" s="87"/>
      <c r="K217" s="87"/>
      <c r="L217" s="87"/>
      <c r="M217" s="87"/>
    </row>
    <row r="218" spans="1:15" x14ac:dyDescent="0.2">
      <c r="A218" t="s">
        <v>926</v>
      </c>
      <c r="E218" s="28">
        <v>36</v>
      </c>
      <c r="F218" s="18"/>
      <c r="G218" s="29">
        <f>E218</f>
        <v>36</v>
      </c>
      <c r="I218" t="s">
        <v>927</v>
      </c>
    </row>
    <row r="219" spans="1:15" ht="14.25" x14ac:dyDescent="0.2">
      <c r="A219" t="s">
        <v>928</v>
      </c>
      <c r="E219" s="16">
        <f>G219/2.54</f>
        <v>1968.5039370078739</v>
      </c>
      <c r="F219" t="s">
        <v>1189</v>
      </c>
      <c r="G219" s="28">
        <v>5000</v>
      </c>
      <c r="H219" t="s">
        <v>1188</v>
      </c>
      <c r="I219" t="s">
        <v>929</v>
      </c>
    </row>
    <row r="220" spans="1:15" ht="14.25" x14ac:dyDescent="0.2">
      <c r="A220" t="s">
        <v>930</v>
      </c>
      <c r="E220" s="16">
        <f>G220/(2.54*2.54)</f>
        <v>9300.0186000371996</v>
      </c>
      <c r="F220" s="18" t="s">
        <v>931</v>
      </c>
      <c r="G220" s="28">
        <v>60000</v>
      </c>
      <c r="H220" t="s">
        <v>1108</v>
      </c>
      <c r="I220" t="s">
        <v>932</v>
      </c>
    </row>
    <row r="221" spans="1:15" x14ac:dyDescent="0.2">
      <c r="A221" t="s">
        <v>1109</v>
      </c>
      <c r="E221" s="16">
        <f>E220*E150</f>
        <v>57217.67571192723</v>
      </c>
      <c r="F221" s="18" t="s">
        <v>933</v>
      </c>
      <c r="G221" s="16">
        <f>G220*G150</f>
        <v>57217.675711927237</v>
      </c>
      <c r="H221" t="s">
        <v>934</v>
      </c>
    </row>
    <row r="222" spans="1:15" x14ac:dyDescent="0.2">
      <c r="E222" s="31"/>
      <c r="F222" s="18"/>
      <c r="G222" s="31"/>
    </row>
    <row r="223" spans="1:15" x14ac:dyDescent="0.2">
      <c r="A223" t="s">
        <v>935</v>
      </c>
      <c r="E223" s="16">
        <f>E218*E168</f>
        <v>23400.024403708492</v>
      </c>
      <c r="F223" s="18" t="s">
        <v>913</v>
      </c>
      <c r="G223" s="16">
        <f>G218*G168</f>
        <v>23400.024403708492</v>
      </c>
      <c r="H223" s="18" t="s">
        <v>913</v>
      </c>
    </row>
    <row r="224" spans="1:15" x14ac:dyDescent="0.2">
      <c r="A224" t="s">
        <v>936</v>
      </c>
      <c r="E224" s="16">
        <f>E219*E130</f>
        <v>23622.047244094487</v>
      </c>
      <c r="F224" s="18" t="s">
        <v>913</v>
      </c>
      <c r="G224" s="16">
        <f>G219*G130</f>
        <v>23622.047244094487</v>
      </c>
      <c r="H224" s="18" t="s">
        <v>913</v>
      </c>
      <c r="I224" t="s">
        <v>937</v>
      </c>
    </row>
    <row r="225" spans="1:15" x14ac:dyDescent="0.2">
      <c r="E225" s="31"/>
      <c r="F225" s="18"/>
      <c r="G225" s="31"/>
    </row>
    <row r="226" spans="1:15" x14ac:dyDescent="0.2">
      <c r="A226" t="s">
        <v>938</v>
      </c>
      <c r="E226" s="29">
        <f>E131/E218</f>
        <v>2335.5671688161924</v>
      </c>
      <c r="F226" s="18" t="s">
        <v>837</v>
      </c>
      <c r="G226" s="29">
        <f>G131/G218</f>
        <v>2335.5671688161924</v>
      </c>
      <c r="H226" t="s">
        <v>837</v>
      </c>
      <c r="I226" t="s">
        <v>939</v>
      </c>
    </row>
    <row r="227" spans="1:15" x14ac:dyDescent="0.2">
      <c r="E227" s="31"/>
      <c r="F227" s="18"/>
      <c r="G227" s="31"/>
    </row>
    <row r="228" spans="1:15" x14ac:dyDescent="0.2">
      <c r="E228" s="31"/>
      <c r="F228" s="18"/>
      <c r="G228" s="31"/>
    </row>
    <row r="229" spans="1:15" x14ac:dyDescent="0.2">
      <c r="B229" s="40" t="s">
        <v>950</v>
      </c>
    </row>
    <row r="231" spans="1:15" x14ac:dyDescent="0.2">
      <c r="A231" t="s">
        <v>952</v>
      </c>
      <c r="E231" s="16">
        <f>E223</f>
        <v>23400.024403708492</v>
      </c>
      <c r="F231" t="s">
        <v>913</v>
      </c>
    </row>
    <row r="232" spans="1:15" x14ac:dyDescent="0.2">
      <c r="A232" t="s">
        <v>954</v>
      </c>
      <c r="E232" s="23">
        <f>E198</f>
        <v>65</v>
      </c>
      <c r="F232" t="s">
        <v>904</v>
      </c>
      <c r="G232" s="23">
        <f t="shared" ref="G232:G239" si="1">E232/25.4</f>
        <v>2.5590551181102366</v>
      </c>
      <c r="H232" t="s">
        <v>835</v>
      </c>
      <c r="K232" t="s">
        <v>962</v>
      </c>
      <c r="M232">
        <v>0.20319999999999999</v>
      </c>
      <c r="N232" t="s">
        <v>904</v>
      </c>
    </row>
    <row r="233" spans="1:15" x14ac:dyDescent="0.2">
      <c r="A233" t="s">
        <v>956</v>
      </c>
      <c r="E233" s="10">
        <f>E215*10</f>
        <v>200.01326188502458</v>
      </c>
      <c r="F233" t="s">
        <v>904</v>
      </c>
      <c r="G233" s="23">
        <f t="shared" si="1"/>
        <v>7.8745378694891572</v>
      </c>
      <c r="H233" t="s">
        <v>835</v>
      </c>
      <c r="K233" s="25" t="s">
        <v>1227</v>
      </c>
      <c r="M233">
        <v>0.39623999999999998</v>
      </c>
      <c r="N233" t="s">
        <v>904</v>
      </c>
    </row>
    <row r="234" spans="1:15" x14ac:dyDescent="0.2">
      <c r="A234" t="s">
        <v>958</v>
      </c>
      <c r="E234" s="17">
        <v>200.01326188502458</v>
      </c>
      <c r="F234" t="s">
        <v>904</v>
      </c>
      <c r="G234" s="23">
        <f t="shared" si="1"/>
        <v>7.8745378694891572</v>
      </c>
      <c r="H234" t="s">
        <v>835</v>
      </c>
    </row>
    <row r="235" spans="1:15" x14ac:dyDescent="0.2">
      <c r="A235" t="s">
        <v>960</v>
      </c>
      <c r="E235" s="10">
        <f>(E233+E234)/2</f>
        <v>200.01326188502458</v>
      </c>
      <c r="F235" t="s">
        <v>904</v>
      </c>
      <c r="G235" s="23">
        <f t="shared" si="1"/>
        <v>7.8745378694891572</v>
      </c>
      <c r="H235" t="s">
        <v>835</v>
      </c>
      <c r="O235" s="18"/>
    </row>
    <row r="236" spans="1:15" x14ac:dyDescent="0.2">
      <c r="A236" t="s">
        <v>60</v>
      </c>
      <c r="E236" s="17">
        <v>0.36</v>
      </c>
      <c r="F236" t="s">
        <v>904</v>
      </c>
      <c r="G236" s="29">
        <f t="shared" si="1"/>
        <v>1.4173228346456693E-2</v>
      </c>
      <c r="H236" t="s">
        <v>1186</v>
      </c>
      <c r="I236" s="121">
        <f>18.2054244290934-8.62881347370181*LN(E236)</f>
        <v>27.021062479221627</v>
      </c>
      <c r="J236" t="s">
        <v>1181</v>
      </c>
      <c r="K236" s="126">
        <f>($Q$184+$Q$186*SQRT(E236)+$Q$188*E236+$Q$202*E236*SQRT(E236)+$Q$204*E236*E236+$Q$206*E236*E236*SQRT(E236))/(1+$Q$183*SQRT(E236)+$Q$187*E236+$Q$189*E236*SQRT(E236)+$Q$203*E236*E236+$Q$205*E236*E236*SQRT(E236))</f>
        <v>28.493226235537943</v>
      </c>
      <c r="L236" t="s">
        <v>1187</v>
      </c>
      <c r="O236" s="18"/>
    </row>
    <row r="237" spans="1:15" x14ac:dyDescent="0.2">
      <c r="A237" s="25" t="s">
        <v>1227</v>
      </c>
      <c r="E237" s="17">
        <v>0.44</v>
      </c>
      <c r="F237" t="s">
        <v>904</v>
      </c>
      <c r="G237" s="29">
        <f t="shared" si="1"/>
        <v>1.7322834645669291E-2</v>
      </c>
      <c r="H237" t="s">
        <v>835</v>
      </c>
    </row>
    <row r="238" spans="1:15" x14ac:dyDescent="0.2">
      <c r="A238" t="s">
        <v>963</v>
      </c>
      <c r="E238" s="17">
        <v>0.224</v>
      </c>
      <c r="F238" t="s">
        <v>904</v>
      </c>
      <c r="G238" s="29">
        <f t="shared" si="1"/>
        <v>8.8188976377952758E-3</v>
      </c>
      <c r="H238" t="s">
        <v>835</v>
      </c>
    </row>
    <row r="239" spans="1:15" x14ac:dyDescent="0.2">
      <c r="A239" t="s">
        <v>91</v>
      </c>
      <c r="E239" s="17">
        <v>0.1</v>
      </c>
      <c r="F239" t="s">
        <v>904</v>
      </c>
      <c r="G239" s="29">
        <f t="shared" si="1"/>
        <v>3.9370078740157488E-3</v>
      </c>
      <c r="H239" t="s">
        <v>835</v>
      </c>
      <c r="I239" s="40" t="s">
        <v>951</v>
      </c>
    </row>
    <row r="240" spans="1:15" x14ac:dyDescent="0.2">
      <c r="A240" s="147" t="s">
        <v>131</v>
      </c>
      <c r="E240" s="23">
        <f>(E246-1)*(E238+E239)</f>
        <v>16.354431457761496</v>
      </c>
      <c r="F240" t="s">
        <v>904</v>
      </c>
    </row>
    <row r="241" spans="1:14" x14ac:dyDescent="0.2">
      <c r="A241" t="s">
        <v>967</v>
      </c>
      <c r="E241" s="16">
        <f>E233/E237</f>
        <v>454.57559519323769</v>
      </c>
      <c r="F241" t="s">
        <v>913</v>
      </c>
      <c r="I241" t="s">
        <v>953</v>
      </c>
      <c r="M241" s="10">
        <f>E231</f>
        <v>23400.024403708492</v>
      </c>
      <c r="N241" t="s">
        <v>913</v>
      </c>
    </row>
    <row r="242" spans="1:14" x14ac:dyDescent="0.2">
      <c r="A242" t="s">
        <v>969</v>
      </c>
      <c r="E242" s="16">
        <f>E235/E237</f>
        <v>454.57559519323769</v>
      </c>
      <c r="F242" t="s">
        <v>913</v>
      </c>
      <c r="I242" s="41" t="s">
        <v>955</v>
      </c>
      <c r="M242" s="23">
        <f>(E232+E247)/(2*25.4)</f>
        <v>4.0946517004143317</v>
      </c>
      <c r="N242" t="s">
        <v>835</v>
      </c>
    </row>
    <row r="243" spans="1:14" x14ac:dyDescent="0.2">
      <c r="A243" t="s">
        <v>972</v>
      </c>
      <c r="E243" s="16">
        <f>E234/E237</f>
        <v>454.57559519323769</v>
      </c>
      <c r="F243" t="s">
        <v>913</v>
      </c>
      <c r="I243" s="41" t="s">
        <v>957</v>
      </c>
      <c r="M243" s="23">
        <f>E242*(E237)/25.4</f>
        <v>7.8745378694891572</v>
      </c>
      <c r="N243" t="s">
        <v>835</v>
      </c>
    </row>
    <row r="244" spans="1:14" x14ac:dyDescent="0.2">
      <c r="A244" t="s">
        <v>973</v>
      </c>
      <c r="E244" s="10">
        <f>((E241-E243)/E246)</f>
        <v>0</v>
      </c>
      <c r="F244" t="s">
        <v>913</v>
      </c>
      <c r="I244" t="s">
        <v>959</v>
      </c>
      <c r="M244" s="23">
        <f>E246*(E236+E239+E238)/25.4</f>
        <v>1.3862213372592669</v>
      </c>
      <c r="N244" t="s">
        <v>835</v>
      </c>
    </row>
    <row r="245" spans="1:14" ht="15.75" x14ac:dyDescent="0.3">
      <c r="I245" t="s">
        <v>1118</v>
      </c>
      <c r="M245" s="39">
        <f>0.000001*(0.2*M242^2*M241^2)/(3*M242+9*M243+10*M244)</f>
        <v>18.925556776241748</v>
      </c>
      <c r="N245" t="s">
        <v>898</v>
      </c>
    </row>
    <row r="246" spans="1:14" x14ac:dyDescent="0.2">
      <c r="A246" t="s">
        <v>1124</v>
      </c>
      <c r="E246" s="39">
        <f>E231/E242</f>
        <v>51.476640301733013</v>
      </c>
      <c r="F246" s="30" t="s">
        <v>975</v>
      </c>
      <c r="I246" t="s">
        <v>1119</v>
      </c>
      <c r="M246" s="17">
        <v>30</v>
      </c>
    </row>
    <row r="247" spans="1:14" ht="15.75" x14ac:dyDescent="0.3">
      <c r="A247" t="s">
        <v>1125</v>
      </c>
      <c r="E247" s="39">
        <f>((E237+E238+E239)*E246-(E238+E239))*2+E232</f>
        <v>143.00830638104804</v>
      </c>
      <c r="F247" t="s">
        <v>904</v>
      </c>
      <c r="I247" t="s">
        <v>1120</v>
      </c>
      <c r="M247" s="39">
        <f>M245*M246</f>
        <v>567.76670328725243</v>
      </c>
      <c r="N247" t="s">
        <v>898</v>
      </c>
    </row>
    <row r="248" spans="1:14" ht="15.75" x14ac:dyDescent="0.3">
      <c r="A248" t="s">
        <v>1140</v>
      </c>
      <c r="E248" s="23">
        <f>(E233-E234)/(2*E246)</f>
        <v>0</v>
      </c>
      <c r="F248" t="s">
        <v>904</v>
      </c>
      <c r="I248" t="s">
        <v>1121</v>
      </c>
      <c r="M248" s="16">
        <f>E251*0.01786/(E236*E236*PI()/4)</f>
        <v>1341.5394150688592</v>
      </c>
      <c r="N248" t="s">
        <v>965</v>
      </c>
    </row>
    <row r="249" spans="1:14" ht="14.25" x14ac:dyDescent="0.2">
      <c r="I249" t="s">
        <v>966</v>
      </c>
      <c r="M249" s="17">
        <v>1</v>
      </c>
      <c r="N249" t="s">
        <v>1105</v>
      </c>
    </row>
    <row r="250" spans="1:14" x14ac:dyDescent="0.2">
      <c r="A250" t="s">
        <v>1126</v>
      </c>
      <c r="E250" s="39">
        <f>PI()*(E232+E247)/2</f>
        <v>326.73868360617769</v>
      </c>
      <c r="F250" t="s">
        <v>904</v>
      </c>
      <c r="I250" t="s">
        <v>968</v>
      </c>
      <c r="M250" s="39">
        <f>1000*(E236*E236*PI()/4)*M249</f>
        <v>101.78760197630929</v>
      </c>
      <c r="N250" t="s">
        <v>840</v>
      </c>
    </row>
    <row r="251" spans="1:14" x14ac:dyDescent="0.2">
      <c r="A251" t="s">
        <v>1127</v>
      </c>
      <c r="E251" s="16">
        <f>E250*E231/1000</f>
        <v>7645.6931700201458</v>
      </c>
      <c r="F251" t="s">
        <v>980</v>
      </c>
      <c r="I251" t="s">
        <v>970</v>
      </c>
      <c r="M251" s="23">
        <f>0.000001*M250*M250*M248</f>
        <v>13.899308769762728</v>
      </c>
      <c r="N251" t="s">
        <v>971</v>
      </c>
    </row>
    <row r="252" spans="1:14" x14ac:dyDescent="0.2">
      <c r="A252" t="s">
        <v>1128</v>
      </c>
      <c r="E252" s="19">
        <f>10*E251*(0.01*E236)^2*PI()*8.93/4</f>
        <v>6.9496543848813639</v>
      </c>
      <c r="F252" t="s">
        <v>874</v>
      </c>
    </row>
    <row r="253" spans="1:14" x14ac:dyDescent="0.2">
      <c r="A253" s="122" t="s">
        <v>1152</v>
      </c>
      <c r="B253" s="87"/>
      <c r="C253" s="87"/>
      <c r="D253" s="87"/>
      <c r="E253" s="123"/>
      <c r="F253" s="87"/>
      <c r="G253" s="123"/>
      <c r="H253" s="87"/>
      <c r="I253" s="87"/>
      <c r="J253" s="87"/>
      <c r="K253" s="87"/>
      <c r="L253" s="87"/>
      <c r="M253" s="87"/>
    </row>
    <row r="256" spans="1:14" x14ac:dyDescent="0.2">
      <c r="A256" s="3" t="s">
        <v>982</v>
      </c>
    </row>
    <row r="257" spans="1:7" x14ac:dyDescent="0.2">
      <c r="A257" t="s">
        <v>1134</v>
      </c>
      <c r="E257" s="23">
        <f>E247/E187</f>
        <v>2.1881047138831549</v>
      </c>
      <c r="G257" s="100" t="str">
        <f>IF(E257&lt;=2.5,"OK","too fat")</f>
        <v>OK</v>
      </c>
    </row>
    <row r="258" spans="1:7" x14ac:dyDescent="0.2">
      <c r="E258" s="27"/>
      <c r="F258" s="18"/>
      <c r="G258" s="27"/>
    </row>
    <row r="260" spans="1:7" x14ac:dyDescent="0.2">
      <c r="A260" s="3" t="s">
        <v>1135</v>
      </c>
    </row>
    <row r="261" spans="1:7" x14ac:dyDescent="0.2">
      <c r="A261" s="3" t="s">
        <v>983</v>
      </c>
    </row>
    <row r="262" spans="1:7" x14ac:dyDescent="0.2">
      <c r="A262" t="s">
        <v>1136</v>
      </c>
      <c r="E262" s="23">
        <f>0.1*E233/E130</f>
        <v>1.6667771823752051</v>
      </c>
      <c r="G262" s="112" t="str">
        <f>IF(E262&gt;=1.33,"OK","too short")</f>
        <v>OK</v>
      </c>
    </row>
    <row r="265" spans="1:7" x14ac:dyDescent="0.2">
      <c r="A265" s="3" t="s">
        <v>984</v>
      </c>
    </row>
    <row r="266" spans="1:7" x14ac:dyDescent="0.2">
      <c r="A266" s="3" t="s">
        <v>985</v>
      </c>
    </row>
    <row r="267" spans="1:7" x14ac:dyDescent="0.2">
      <c r="A267" s="3" t="s">
        <v>986</v>
      </c>
    </row>
    <row r="268" spans="1:7" x14ac:dyDescent="0.2">
      <c r="A268" t="s">
        <v>1137</v>
      </c>
      <c r="E268" s="23">
        <f>0.1*E188/E130</f>
        <v>3.2752555051475696</v>
      </c>
      <c r="G268" s="112" t="str">
        <f>IF(E268&gt;=2,"OK","too short")</f>
        <v>OK</v>
      </c>
    </row>
    <row r="269" spans="1:7" x14ac:dyDescent="0.2">
      <c r="A269" t="s">
        <v>1177</v>
      </c>
      <c r="E269" s="23">
        <f>E188/E233</f>
        <v>1.9650230035428233</v>
      </c>
      <c r="G269" s="112" t="str">
        <f>IF(E269&gt;=2,"OK","too short")</f>
        <v>too short</v>
      </c>
    </row>
    <row r="270" spans="1:7" x14ac:dyDescent="0.2">
      <c r="A270" s="3"/>
    </row>
    <row r="271" spans="1:7" x14ac:dyDescent="0.2">
      <c r="A271" s="3" t="s">
        <v>987</v>
      </c>
    </row>
    <row r="272" spans="1:7" x14ac:dyDescent="0.2">
      <c r="A272" s="3" t="s">
        <v>988</v>
      </c>
    </row>
    <row r="273" spans="1:9" x14ac:dyDescent="0.2">
      <c r="A273" s="113" t="s">
        <v>1138</v>
      </c>
      <c r="E273" s="10">
        <f>G219</f>
        <v>5000</v>
      </c>
      <c r="F273" t="s">
        <v>1139</v>
      </c>
    </row>
    <row r="274" spans="1:9" x14ac:dyDescent="0.2">
      <c r="A274" s="3"/>
    </row>
    <row r="275" spans="1:9" x14ac:dyDescent="0.2">
      <c r="A275" s="3"/>
    </row>
    <row r="276" spans="1:9" x14ac:dyDescent="0.2">
      <c r="A276" s="3" t="s">
        <v>989</v>
      </c>
    </row>
    <row r="277" spans="1:9" x14ac:dyDescent="0.2">
      <c r="A277" s="3" t="s">
        <v>990</v>
      </c>
    </row>
    <row r="278" spans="1:9" x14ac:dyDescent="0.2">
      <c r="A278" s="3" t="s">
        <v>991</v>
      </c>
    </row>
    <row r="279" spans="1:9" x14ac:dyDescent="0.2">
      <c r="A279" s="113" t="s">
        <v>1141</v>
      </c>
      <c r="E279" s="10">
        <f>E218</f>
        <v>36</v>
      </c>
      <c r="F279" t="s">
        <v>1139</v>
      </c>
    </row>
    <row r="280" spans="1:9" x14ac:dyDescent="0.2">
      <c r="A280" s="3"/>
    </row>
    <row r="281" spans="1:9" x14ac:dyDescent="0.2">
      <c r="A281" s="3"/>
    </row>
    <row r="282" spans="1:9" x14ac:dyDescent="0.2">
      <c r="A282" s="3" t="s">
        <v>1142</v>
      </c>
    </row>
    <row r="283" spans="1:9" x14ac:dyDescent="0.2">
      <c r="A283" s="3" t="s">
        <v>1143</v>
      </c>
    </row>
    <row r="284" spans="1:9" x14ac:dyDescent="0.2">
      <c r="A284" s="113" t="s">
        <v>1144</v>
      </c>
      <c r="E284" s="10">
        <f>E180/E148</f>
        <v>0.89814875878946965</v>
      </c>
      <c r="G284" s="112" t="str">
        <f>IF(E284&gt;=0.85,"OK",IF(E284&gt;=0.7,"a bit short","too short"))</f>
        <v>OK</v>
      </c>
      <c r="I284" t="s">
        <v>426</v>
      </c>
    </row>
    <row r="285" spans="1:9" x14ac:dyDescent="0.2">
      <c r="A285" s="113" t="s">
        <v>1145</v>
      </c>
      <c r="E285" s="10">
        <f>E179-E178</f>
        <v>0.14857665548939947</v>
      </c>
      <c r="G285" s="112" t="str">
        <f>IF(E285&lt;0.5,"low",IF(AND(E285&gt;=0.5,E285&lt;=1),"OK","too high"))</f>
        <v>low</v>
      </c>
    </row>
    <row r="286" spans="1:9" x14ac:dyDescent="0.2">
      <c r="A286" s="3"/>
      <c r="D286" s="33" t="s">
        <v>1178</v>
      </c>
      <c r="E286" s="112">
        <f>E179</f>
        <v>4</v>
      </c>
      <c r="F286" s="2" t="s">
        <v>1179</v>
      </c>
      <c r="G286" s="100">
        <f>E178</f>
        <v>3.8514233445106005</v>
      </c>
      <c r="H286" t="s">
        <v>1180</v>
      </c>
    </row>
    <row r="287" spans="1:9" x14ac:dyDescent="0.2">
      <c r="A287" s="3"/>
      <c r="D287" s="33"/>
      <c r="E287" s="116"/>
      <c r="F287" s="116"/>
      <c r="G287" s="120"/>
    </row>
    <row r="288" spans="1:9" x14ac:dyDescent="0.2">
      <c r="A288" s="3"/>
    </row>
    <row r="289" spans="1:6" x14ac:dyDescent="0.2">
      <c r="A289" s="3" t="s">
        <v>1148</v>
      </c>
    </row>
    <row r="290" spans="1:6" x14ac:dyDescent="0.2">
      <c r="A290" s="3" t="s">
        <v>1146</v>
      </c>
    </row>
    <row r="291" spans="1:6" x14ac:dyDescent="0.2">
      <c r="A291" s="3" t="s">
        <v>1149</v>
      </c>
    </row>
    <row r="292" spans="1:6" x14ac:dyDescent="0.2">
      <c r="A292" s="113" t="s">
        <v>1147</v>
      </c>
    </row>
    <row r="293" spans="1:6" x14ac:dyDescent="0.2">
      <c r="A293" s="3"/>
    </row>
    <row r="294" spans="1:6" x14ac:dyDescent="0.2">
      <c r="A294" s="3"/>
    </row>
    <row r="295" spans="1:6" x14ac:dyDescent="0.2">
      <c r="A295" s="3" t="s">
        <v>1157</v>
      </c>
    </row>
    <row r="296" spans="1:6" x14ac:dyDescent="0.2">
      <c r="A296" s="3" t="s">
        <v>1153</v>
      </c>
    </row>
    <row r="297" spans="1:6" x14ac:dyDescent="0.2">
      <c r="A297" s="3" t="s">
        <v>1156</v>
      </c>
    </row>
    <row r="298" spans="1:6" x14ac:dyDescent="0.2">
      <c r="A298" s="3" t="s">
        <v>1155</v>
      </c>
    </row>
    <row r="299" spans="1:6" x14ac:dyDescent="0.2">
      <c r="A299" s="3" t="s">
        <v>1154</v>
      </c>
    </row>
    <row r="301" spans="1:6" x14ac:dyDescent="0.2">
      <c r="A301" s="113" t="s">
        <v>1158</v>
      </c>
    </row>
    <row r="302" spans="1:6" x14ac:dyDescent="0.2">
      <c r="A302" s="113" t="s">
        <v>1159</v>
      </c>
      <c r="E302" s="23">
        <f>0.277513707713303+0.126392777117194*EXP(-G130/(-6.84564814481717))</f>
        <v>0.52953853251574401</v>
      </c>
      <c r="F302" t="s">
        <v>1160</v>
      </c>
    </row>
    <row r="306" spans="1:8" x14ac:dyDescent="0.2">
      <c r="A306" s="18"/>
      <c r="B306" s="18"/>
      <c r="C306" s="18"/>
      <c r="D306" s="18"/>
      <c r="E306" s="116"/>
      <c r="F306" s="18"/>
      <c r="G306" s="116"/>
      <c r="H306" s="18"/>
    </row>
    <row r="307" spans="1:8" x14ac:dyDescent="0.2">
      <c r="A307" s="18"/>
      <c r="B307" s="18"/>
      <c r="C307" s="18"/>
      <c r="D307" s="18"/>
      <c r="E307" s="18"/>
      <c r="F307" s="18"/>
      <c r="G307" s="18"/>
      <c r="H307" s="18"/>
    </row>
    <row r="308" spans="1:8" x14ac:dyDescent="0.2">
      <c r="A308" s="18"/>
      <c r="B308" s="18"/>
      <c r="C308" s="18"/>
      <c r="D308" s="18"/>
      <c r="E308" s="34"/>
      <c r="F308" s="18"/>
      <c r="G308" s="34"/>
      <c r="H308" s="18"/>
    </row>
    <row r="309" spans="1:8" x14ac:dyDescent="0.2">
      <c r="A309" s="18"/>
      <c r="B309" s="18"/>
      <c r="C309" s="18"/>
      <c r="D309" s="18"/>
      <c r="E309" s="18"/>
      <c r="F309" s="18"/>
      <c r="G309" s="18"/>
      <c r="H309" s="18"/>
    </row>
    <row r="310" spans="1:8" x14ac:dyDescent="0.2">
      <c r="A310" s="18"/>
      <c r="B310" s="18"/>
      <c r="C310" s="18"/>
      <c r="D310" s="18"/>
      <c r="E310" s="27"/>
      <c r="F310" s="18"/>
      <c r="G310" s="18"/>
      <c r="H310" s="18"/>
    </row>
    <row r="311" spans="1:8" x14ac:dyDescent="0.2">
      <c r="A311" s="18"/>
      <c r="B311" s="18"/>
      <c r="C311" s="18"/>
      <c r="D311" s="18"/>
      <c r="E311" s="18"/>
      <c r="F311" s="18"/>
      <c r="G311" s="18"/>
      <c r="H311" s="18"/>
    </row>
    <row r="312" spans="1:8" x14ac:dyDescent="0.2">
      <c r="A312" s="18"/>
      <c r="B312" s="18"/>
      <c r="C312" s="18"/>
      <c r="D312" s="18"/>
      <c r="E312" s="18"/>
      <c r="F312" s="18"/>
      <c r="G312" s="18"/>
      <c r="H312" s="18"/>
    </row>
    <row r="313" spans="1:8" x14ac:dyDescent="0.2">
      <c r="A313" s="18"/>
      <c r="B313" s="18"/>
      <c r="C313" s="18"/>
      <c r="D313" s="18"/>
      <c r="E313" s="116"/>
      <c r="F313" s="18"/>
      <c r="G313" s="86"/>
      <c r="H313" s="18"/>
    </row>
    <row r="314" spans="1:8" x14ac:dyDescent="0.2">
      <c r="A314" s="18"/>
      <c r="B314" s="18"/>
      <c r="C314" s="18"/>
      <c r="D314" s="18"/>
      <c r="E314" s="18"/>
      <c r="F314" s="18"/>
      <c r="G314" s="84"/>
      <c r="H314" s="18"/>
    </row>
    <row r="315" spans="1:8" x14ac:dyDescent="0.2">
      <c r="A315" s="18"/>
      <c r="B315" s="18"/>
      <c r="C315" s="18"/>
      <c r="D315" s="18"/>
      <c r="E315" s="18"/>
      <c r="F315" s="18"/>
      <c r="G315" s="18"/>
      <c r="H315" s="18"/>
    </row>
    <row r="316" spans="1:8" x14ac:dyDescent="0.2">
      <c r="A316" s="18"/>
      <c r="B316" s="18"/>
      <c r="C316" s="18"/>
      <c r="D316" s="18"/>
      <c r="E316" s="18"/>
      <c r="F316" s="18"/>
      <c r="G316" s="18"/>
      <c r="H316" s="18"/>
    </row>
    <row r="317" spans="1:8" x14ac:dyDescent="0.2">
      <c r="A317" s="18"/>
      <c r="B317" s="18"/>
      <c r="C317" s="18"/>
      <c r="D317" s="18"/>
      <c r="E317" s="18"/>
      <c r="F317" s="18"/>
      <c r="G317" s="18"/>
      <c r="H317" s="18"/>
    </row>
    <row r="318" spans="1:8" x14ac:dyDescent="0.2">
      <c r="A318" s="18"/>
      <c r="B318" s="18"/>
      <c r="C318" s="18"/>
      <c r="D318" s="18"/>
      <c r="E318" s="18"/>
      <c r="F318" s="18"/>
      <c r="G318" s="18"/>
      <c r="H318" s="18"/>
    </row>
    <row r="319" spans="1:8" x14ac:dyDescent="0.2">
      <c r="A319" s="18"/>
      <c r="B319" s="18"/>
      <c r="C319" s="18"/>
      <c r="D319" s="18"/>
      <c r="E319" s="18"/>
      <c r="F319" s="18"/>
      <c r="G319" s="18"/>
      <c r="H319" s="18"/>
    </row>
    <row r="320" spans="1:8" x14ac:dyDescent="0.2">
      <c r="A320" s="18"/>
      <c r="B320" s="18"/>
      <c r="C320" s="18"/>
      <c r="D320" s="18"/>
      <c r="E320" s="18"/>
      <c r="F320" s="18"/>
      <c r="G320" s="18"/>
      <c r="H320" s="18"/>
    </row>
  </sheetData>
  <phoneticPr fontId="0" type="noConversion"/>
  <pageMargins left="1.17" right="0.78740157499999996" top="0.43" bottom="0.62" header="0.28999999999999998" footer="0.37"/>
  <pageSetup paperSize="9" orientation="portrait" verticalDpi="0" r:id="rId1"/>
  <headerFooter alignWithMargins="0">
    <oddFooter>&amp;L&amp;F / &amp;A&amp;Cthis design: &amp;D&amp;Rprogram of: 26.10.2004 / K.Schraner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O67"/>
  <sheetViews>
    <sheetView workbookViewId="0"/>
  </sheetViews>
  <sheetFormatPr baseColWidth="10" defaultColWidth="9.140625" defaultRowHeight="12.75" x14ac:dyDescent="0.2"/>
  <sheetData>
    <row r="1" spans="2:9" ht="20.25" x14ac:dyDescent="0.3">
      <c r="H1" s="210" t="s">
        <v>187</v>
      </c>
    </row>
    <row r="3" spans="2:9" x14ac:dyDescent="0.2">
      <c r="H3" s="348" t="s">
        <v>701</v>
      </c>
    </row>
    <row r="11" spans="2:9" x14ac:dyDescent="0.2">
      <c r="C11" t="s">
        <v>158</v>
      </c>
    </row>
    <row r="12" spans="2:9" x14ac:dyDescent="0.2">
      <c r="G12" t="s">
        <v>850</v>
      </c>
    </row>
    <row r="14" spans="2:9" x14ac:dyDescent="0.2">
      <c r="F14" t="s">
        <v>149</v>
      </c>
    </row>
    <row r="16" spans="2:9" x14ac:dyDescent="0.2">
      <c r="B16" s="33" t="s">
        <v>150</v>
      </c>
      <c r="F16" s="2" t="s">
        <v>148</v>
      </c>
      <c r="I16" s="33" t="s">
        <v>861</v>
      </c>
    </row>
    <row r="29" spans="7:14" x14ac:dyDescent="0.2">
      <c r="G29" t="s">
        <v>152</v>
      </c>
    </row>
    <row r="30" spans="7:14" x14ac:dyDescent="0.2">
      <c r="K30" s="33" t="s">
        <v>861</v>
      </c>
      <c r="M30" t="s">
        <v>173</v>
      </c>
      <c r="N30" t="s">
        <v>174</v>
      </c>
    </row>
    <row r="33" spans="5:13" x14ac:dyDescent="0.2">
      <c r="H33" s="33" t="s">
        <v>151</v>
      </c>
    </row>
    <row r="36" spans="5:13" x14ac:dyDescent="0.2">
      <c r="E36" t="s">
        <v>153</v>
      </c>
    </row>
    <row r="37" spans="5:13" x14ac:dyDescent="0.2">
      <c r="E37" t="s">
        <v>154</v>
      </c>
    </row>
    <row r="39" spans="5:13" x14ac:dyDescent="0.2">
      <c r="E39" t="s">
        <v>155</v>
      </c>
    </row>
    <row r="41" spans="5:13" x14ac:dyDescent="0.2">
      <c r="E41" t="s">
        <v>156</v>
      </c>
    </row>
    <row r="42" spans="5:13" x14ac:dyDescent="0.2">
      <c r="K42" s="237" t="s">
        <v>177</v>
      </c>
    </row>
    <row r="43" spans="5:13" x14ac:dyDescent="0.2">
      <c r="E43" t="s">
        <v>157</v>
      </c>
      <c r="K43" t="s">
        <v>180</v>
      </c>
      <c r="M43" t="s">
        <v>175</v>
      </c>
    </row>
    <row r="44" spans="5:13" x14ac:dyDescent="0.2">
      <c r="K44" t="s">
        <v>178</v>
      </c>
      <c r="M44" t="s">
        <v>183</v>
      </c>
    </row>
    <row r="45" spans="5:13" x14ac:dyDescent="0.2">
      <c r="E45" t="s">
        <v>163</v>
      </c>
      <c r="I45" t="s">
        <v>164</v>
      </c>
      <c r="K45" t="s">
        <v>179</v>
      </c>
      <c r="M45" t="s">
        <v>176</v>
      </c>
    </row>
    <row r="48" spans="5:13" x14ac:dyDescent="0.2">
      <c r="F48" s="239" t="s">
        <v>186</v>
      </c>
    </row>
    <row r="50" spans="5:15" x14ac:dyDescent="0.2">
      <c r="F50" s="33" t="s">
        <v>160</v>
      </c>
      <c r="G50">
        <v>4</v>
      </c>
      <c r="H50" t="s">
        <v>159</v>
      </c>
      <c r="I50" s="33" t="s">
        <v>165</v>
      </c>
      <c r="J50">
        <v>353</v>
      </c>
      <c r="K50" t="s">
        <v>904</v>
      </c>
    </row>
    <row r="51" spans="5:15" x14ac:dyDescent="0.2">
      <c r="F51" s="33" t="s">
        <v>161</v>
      </c>
      <c r="G51">
        <v>7.75</v>
      </c>
      <c r="H51" t="s">
        <v>904</v>
      </c>
    </row>
    <row r="53" spans="5:15" x14ac:dyDescent="0.2">
      <c r="E53" s="33" t="s">
        <v>171</v>
      </c>
      <c r="F53" s="33" t="s">
        <v>162</v>
      </c>
      <c r="G53" s="240">
        <f>G51/((G50-1)*(SQRT(3)/2) + 1)</f>
        <v>2.1539288066066433</v>
      </c>
      <c r="H53" t="s">
        <v>904</v>
      </c>
      <c r="I53" s="33" t="s">
        <v>166</v>
      </c>
      <c r="J53" s="35">
        <f>J50/G53</f>
        <v>163.88656807841554</v>
      </c>
      <c r="K53" t="s">
        <v>913</v>
      </c>
      <c r="L53" s="237" t="s">
        <v>177</v>
      </c>
    </row>
    <row r="54" spans="5:15" ht="15.75" x14ac:dyDescent="0.3">
      <c r="E54" s="33" t="s">
        <v>192</v>
      </c>
      <c r="F54" s="33" t="s">
        <v>172</v>
      </c>
      <c r="G54">
        <v>1.82</v>
      </c>
      <c r="H54" t="s">
        <v>904</v>
      </c>
      <c r="I54" s="33" t="s">
        <v>167</v>
      </c>
      <c r="J54" s="35">
        <f>J53-1</f>
        <v>162.88656807841554</v>
      </c>
      <c r="K54" t="s">
        <v>913</v>
      </c>
      <c r="L54" t="s">
        <v>181</v>
      </c>
      <c r="N54">
        <f>(J53-1)*G53+1.5*G53</f>
        <v>354.07696440330335</v>
      </c>
      <c r="O54" t="s">
        <v>904</v>
      </c>
    </row>
    <row r="55" spans="5:15" x14ac:dyDescent="0.2">
      <c r="I55" s="33" t="s">
        <v>168</v>
      </c>
      <c r="J55" s="35">
        <f>J54-1</f>
        <v>161.88656807841554</v>
      </c>
      <c r="K55" t="s">
        <v>913</v>
      </c>
      <c r="L55" t="s">
        <v>193</v>
      </c>
      <c r="N55">
        <f>(J53-G50-2)*G53-0.5*G53</f>
        <v>338.99946275705679</v>
      </c>
      <c r="O55" t="s">
        <v>904</v>
      </c>
    </row>
    <row r="56" spans="5:15" ht="14.25" x14ac:dyDescent="0.2">
      <c r="I56" s="33" t="s">
        <v>169</v>
      </c>
      <c r="J56" s="35">
        <f>J55-1</f>
        <v>160.88656807841554</v>
      </c>
      <c r="K56" t="s">
        <v>913</v>
      </c>
      <c r="L56" t="s">
        <v>182</v>
      </c>
      <c r="N56">
        <f>0.5*(N54+N55)*G51</f>
        <v>2685.6711552463958</v>
      </c>
      <c r="O56" t="s">
        <v>1107</v>
      </c>
    </row>
    <row r="57" spans="5:15" ht="14.25" x14ac:dyDescent="0.2">
      <c r="I57" s="236" t="s">
        <v>170</v>
      </c>
      <c r="J57" s="35">
        <f>SUM(J53:J56)</f>
        <v>649.54627231366214</v>
      </c>
      <c r="K57" t="s">
        <v>913</v>
      </c>
      <c r="L57" t="s">
        <v>184</v>
      </c>
      <c r="N57">
        <f>J57*(G53*G53*PI()/4)</f>
        <v>2366.80601978304</v>
      </c>
      <c r="O57" t="s">
        <v>1107</v>
      </c>
    </row>
    <row r="58" spans="5:15" x14ac:dyDescent="0.2">
      <c r="L58" t="s">
        <v>185</v>
      </c>
      <c r="N58" s="238">
        <f>N57/N56</f>
        <v>0.88127171309098651</v>
      </c>
    </row>
    <row r="59" spans="5:15" x14ac:dyDescent="0.2">
      <c r="K59" s="107" t="s">
        <v>189</v>
      </c>
      <c r="L59" t="s">
        <v>188</v>
      </c>
      <c r="N59" s="238">
        <f>J57*(G54*G54*PI()/4)/N56</f>
        <v>0.62920174341373003</v>
      </c>
    </row>
    <row r="61" spans="5:15" x14ac:dyDescent="0.2">
      <c r="M61" s="33" t="s">
        <v>190</v>
      </c>
      <c r="N61" s="238">
        <f>PI()/4</f>
        <v>0.78539816339744828</v>
      </c>
    </row>
    <row r="62" spans="5:15" x14ac:dyDescent="0.2">
      <c r="K62" s="107" t="s">
        <v>191</v>
      </c>
      <c r="L62" t="s">
        <v>188</v>
      </c>
      <c r="N62" s="238">
        <f>(G54*G54*PI()/4)/(G53*G53)</f>
        <v>0.56075088572892307</v>
      </c>
    </row>
    <row r="67" spans="14:14" x14ac:dyDescent="0.2">
      <c r="N67" s="279">
        <f>N58/N61</f>
        <v>1.1220699947639445</v>
      </c>
    </row>
  </sheetData>
  <phoneticPr fontId="0" type="noConversion"/>
  <pageMargins left="0.47" right="0.23" top="0.984251969" bottom="0.984251969" header="0.5" footer="0.5"/>
  <pageSetup paperSize="9" scale="76" orientation="portrait" verticalDpi="0" r:id="rId1"/>
  <headerFooter alignWithMargins="0">
    <oddFooter>&amp;L&amp;F / &amp;A&amp;R'26.10.2004 / K.Schraner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P123"/>
  <sheetViews>
    <sheetView workbookViewId="0">
      <selection activeCell="D122" sqref="D122"/>
    </sheetView>
  </sheetViews>
  <sheetFormatPr baseColWidth="10" defaultColWidth="9.140625" defaultRowHeight="12.75" x14ac:dyDescent="0.2"/>
  <sheetData>
    <row r="1" spans="2:16" ht="23.25" x14ac:dyDescent="0.35">
      <c r="B1" s="1" t="s">
        <v>467</v>
      </c>
      <c r="K1" t="s">
        <v>468</v>
      </c>
      <c r="P1" s="40"/>
    </row>
    <row r="3" spans="2:16" x14ac:dyDescent="0.2">
      <c r="C3" t="s">
        <v>1021</v>
      </c>
      <c r="D3" s="286" t="s">
        <v>333</v>
      </c>
    </row>
    <row r="5" spans="2:16" ht="20.25" x14ac:dyDescent="0.3">
      <c r="D5" s="46" t="s">
        <v>469</v>
      </c>
    </row>
    <row r="6" spans="2:16" x14ac:dyDescent="0.2">
      <c r="E6" t="s">
        <v>470</v>
      </c>
    </row>
    <row r="8" spans="2:16" x14ac:dyDescent="0.2">
      <c r="C8" s="33" t="s">
        <v>471</v>
      </c>
      <c r="D8" s="2">
        <v>4460</v>
      </c>
      <c r="E8" t="s">
        <v>873</v>
      </c>
      <c r="H8" s="33" t="s">
        <v>472</v>
      </c>
      <c r="I8" s="2">
        <v>14</v>
      </c>
      <c r="J8" t="s">
        <v>473</v>
      </c>
    </row>
    <row r="9" spans="2:16" x14ac:dyDescent="0.2">
      <c r="D9" s="295">
        <f>D8/453.5924</f>
        <v>9.8326162431292943</v>
      </c>
      <c r="E9" t="s">
        <v>474</v>
      </c>
      <c r="H9" s="33" t="s">
        <v>475</v>
      </c>
      <c r="I9" s="295">
        <f>SQRT(4*I8/PI())</f>
        <v>4.2220082456447523</v>
      </c>
      <c r="J9" t="s">
        <v>476</v>
      </c>
      <c r="K9" s="296">
        <f>42/I9</f>
        <v>9.9478725659348122</v>
      </c>
    </row>
    <row r="15" spans="2:16" x14ac:dyDescent="0.2">
      <c r="M15" s="37"/>
    </row>
    <row r="21" spans="3:9" x14ac:dyDescent="0.2">
      <c r="C21" t="s">
        <v>480</v>
      </c>
    </row>
    <row r="29" spans="3:9" x14ac:dyDescent="0.2">
      <c r="I29" s="3" t="s">
        <v>481</v>
      </c>
    </row>
    <row r="35" spans="4:13" x14ac:dyDescent="0.2">
      <c r="K35" t="s">
        <v>482</v>
      </c>
    </row>
    <row r="36" spans="4:13" x14ac:dyDescent="0.2">
      <c r="K36" t="s">
        <v>483</v>
      </c>
      <c r="L36" t="s">
        <v>484</v>
      </c>
      <c r="M36" t="s">
        <v>904</v>
      </c>
    </row>
    <row r="37" spans="4:13" x14ac:dyDescent="0.2">
      <c r="K37" t="s">
        <v>485</v>
      </c>
      <c r="L37" t="s">
        <v>486</v>
      </c>
      <c r="M37" t="s">
        <v>904</v>
      </c>
    </row>
    <row r="48" spans="4:13" x14ac:dyDescent="0.2">
      <c r="D48" s="2" t="s">
        <v>487</v>
      </c>
      <c r="J48" t="s">
        <v>488</v>
      </c>
      <c r="L48" t="s">
        <v>489</v>
      </c>
    </row>
    <row r="49" spans="2:14" x14ac:dyDescent="0.2">
      <c r="C49" s="33" t="s">
        <v>490</v>
      </c>
    </row>
    <row r="52" spans="2:14" x14ac:dyDescent="0.2">
      <c r="C52" s="33" t="s">
        <v>491</v>
      </c>
      <c r="D52" s="33"/>
      <c r="F52" s="33"/>
      <c r="H52" s="33"/>
      <c r="J52" s="33"/>
      <c r="L52" s="33"/>
    </row>
    <row r="57" spans="2:14" x14ac:dyDescent="0.2">
      <c r="C57" t="s">
        <v>492</v>
      </c>
    </row>
    <row r="58" spans="2:14" x14ac:dyDescent="0.2">
      <c r="B58" t="s">
        <v>493</v>
      </c>
    </row>
    <row r="59" spans="2:14" x14ac:dyDescent="0.2">
      <c r="B59" t="s">
        <v>494</v>
      </c>
    </row>
    <row r="60" spans="2:14" x14ac:dyDescent="0.2">
      <c r="B60" t="s">
        <v>495</v>
      </c>
    </row>
    <row r="61" spans="2:14" x14ac:dyDescent="0.2">
      <c r="N61" s="33" t="s">
        <v>496</v>
      </c>
    </row>
    <row r="62" spans="2:14" x14ac:dyDescent="0.2">
      <c r="C62" s="33"/>
    </row>
    <row r="66" spans="2:6" ht="21.75" x14ac:dyDescent="0.35">
      <c r="B66" s="210" t="s">
        <v>497</v>
      </c>
      <c r="F66" s="46" t="s">
        <v>498</v>
      </c>
    </row>
    <row r="67" spans="2:6" ht="21.75" x14ac:dyDescent="0.35">
      <c r="B67" s="210" t="s">
        <v>499</v>
      </c>
      <c r="F67" s="46" t="s">
        <v>500</v>
      </c>
    </row>
    <row r="72" spans="2:6" x14ac:dyDescent="0.2">
      <c r="C72" s="33" t="s">
        <v>490</v>
      </c>
    </row>
    <row r="76" spans="2:6" x14ac:dyDescent="0.2">
      <c r="B76" s="113"/>
      <c r="C76" s="297" t="s">
        <v>501</v>
      </c>
    </row>
    <row r="77" spans="2:6" x14ac:dyDescent="0.2">
      <c r="B77" s="113"/>
      <c r="C77" s="297" t="s">
        <v>502</v>
      </c>
    </row>
    <row r="80" spans="2:6" x14ac:dyDescent="0.2">
      <c r="B80" s="33" t="s">
        <v>503</v>
      </c>
      <c r="C80" s="335">
        <v>37104</v>
      </c>
    </row>
    <row r="87" spans="2:9" x14ac:dyDescent="0.2">
      <c r="D87" s="2" t="s">
        <v>8</v>
      </c>
      <c r="E87" s="2" t="s">
        <v>504</v>
      </c>
      <c r="F87" s="2" t="s">
        <v>505</v>
      </c>
      <c r="G87" s="2" t="s">
        <v>506</v>
      </c>
      <c r="H87" s="2" t="s">
        <v>507</v>
      </c>
    </row>
    <row r="88" spans="2:9" x14ac:dyDescent="0.2">
      <c r="D88" s="2"/>
      <c r="E88" s="2" t="s">
        <v>508</v>
      </c>
      <c r="F88" s="2" t="s">
        <v>509</v>
      </c>
      <c r="G88" s="2" t="s">
        <v>509</v>
      </c>
      <c r="H88" s="2" t="s">
        <v>510</v>
      </c>
    </row>
    <row r="89" spans="2:9" x14ac:dyDescent="0.2">
      <c r="B89" s="40" t="s">
        <v>511</v>
      </c>
    </row>
    <row r="90" spans="2:9" x14ac:dyDescent="0.2">
      <c r="C90" s="33" t="s">
        <v>512</v>
      </c>
      <c r="D90" s="298">
        <v>2</v>
      </c>
      <c r="E90" s="299">
        <v>1.7</v>
      </c>
      <c r="F90" s="299">
        <v>10.7</v>
      </c>
      <c r="G90" s="299">
        <v>5.0999999999999996</v>
      </c>
      <c r="H90" s="45">
        <f>F90*F90/10000</f>
        <v>1.1448999999999997E-2</v>
      </c>
    </row>
    <row r="91" spans="2:9" x14ac:dyDescent="0.2">
      <c r="C91" s="33" t="s">
        <v>513</v>
      </c>
      <c r="D91" s="298">
        <v>1</v>
      </c>
      <c r="E91" s="299">
        <v>14</v>
      </c>
      <c r="F91" s="299">
        <v>7</v>
      </c>
      <c r="G91" s="299">
        <v>5.0999999999999996</v>
      </c>
      <c r="H91" s="45">
        <f>F91*F91/10000</f>
        <v>4.8999999999999998E-3</v>
      </c>
    </row>
    <row r="92" spans="2:9" x14ac:dyDescent="0.2">
      <c r="C92" s="33" t="s">
        <v>514</v>
      </c>
      <c r="D92" s="298">
        <v>1</v>
      </c>
      <c r="E92" s="299">
        <v>0.1</v>
      </c>
    </row>
    <row r="93" spans="2:9" x14ac:dyDescent="0.2">
      <c r="C93" s="33" t="s">
        <v>492</v>
      </c>
      <c r="D93" s="298">
        <v>1</v>
      </c>
      <c r="E93" s="299">
        <v>0.2</v>
      </c>
      <c r="G93" s="40" t="s">
        <v>515</v>
      </c>
    </row>
    <row r="94" spans="2:9" x14ac:dyDescent="0.2">
      <c r="C94" s="33" t="s">
        <v>516</v>
      </c>
      <c r="D94" s="298">
        <v>1</v>
      </c>
      <c r="E94" s="299">
        <v>0.1</v>
      </c>
      <c r="H94" s="33" t="s">
        <v>517</v>
      </c>
      <c r="I94" s="2"/>
    </row>
    <row r="95" spans="2:9" x14ac:dyDescent="0.2">
      <c r="C95" s="33" t="s">
        <v>518</v>
      </c>
      <c r="D95" s="298">
        <v>1</v>
      </c>
      <c r="E95" s="299">
        <v>0</v>
      </c>
      <c r="G95" t="s">
        <v>519</v>
      </c>
      <c r="H95" s="299">
        <v>1.1000000000000001</v>
      </c>
    </row>
    <row r="96" spans="2:9" x14ac:dyDescent="0.2">
      <c r="B96" t="s">
        <v>520</v>
      </c>
      <c r="C96" s="33"/>
      <c r="E96" s="300">
        <f>(D106/D104)*E91</f>
        <v>14</v>
      </c>
      <c r="G96" t="s">
        <v>521</v>
      </c>
      <c r="H96" s="299">
        <v>0.8</v>
      </c>
    </row>
    <row r="97" spans="2:8" x14ac:dyDescent="0.2">
      <c r="B97" t="s">
        <v>522</v>
      </c>
      <c r="E97" s="300">
        <f>D90*E90+D91*E91+D92*E92+D93*E93+D94*E94+D95*E95</f>
        <v>17.8</v>
      </c>
      <c r="G97" s="2" t="s">
        <v>510</v>
      </c>
      <c r="H97" s="300">
        <f>H96*H95</f>
        <v>0.88000000000000012</v>
      </c>
    </row>
    <row r="98" spans="2:8" x14ac:dyDescent="0.2">
      <c r="G98" s="2" t="s">
        <v>1207</v>
      </c>
      <c r="H98" s="2" t="s">
        <v>523</v>
      </c>
    </row>
    <row r="99" spans="2:8" x14ac:dyDescent="0.2">
      <c r="G99" s="2" t="s">
        <v>508</v>
      </c>
      <c r="H99" s="2" t="s">
        <v>524</v>
      </c>
    </row>
    <row r="100" spans="2:8" x14ac:dyDescent="0.2">
      <c r="G100" s="301">
        <v>1.5</v>
      </c>
      <c r="H100" s="302">
        <v>5.7</v>
      </c>
    </row>
    <row r="101" spans="2:8" x14ac:dyDescent="0.2">
      <c r="B101" s="40" t="s">
        <v>525</v>
      </c>
      <c r="G101" s="301">
        <v>2</v>
      </c>
      <c r="H101" s="302">
        <v>6.9</v>
      </c>
    </row>
    <row r="102" spans="2:8" x14ac:dyDescent="0.2">
      <c r="G102" s="301">
        <v>2.5</v>
      </c>
      <c r="H102" s="302">
        <v>8.6999999999999993</v>
      </c>
    </row>
    <row r="103" spans="2:8" x14ac:dyDescent="0.2">
      <c r="C103" s="33" t="s">
        <v>526</v>
      </c>
      <c r="D103" s="299">
        <v>230</v>
      </c>
      <c r="E103" t="s">
        <v>508</v>
      </c>
    </row>
    <row r="104" spans="2:8" x14ac:dyDescent="0.2">
      <c r="C104" s="33" t="s">
        <v>527</v>
      </c>
      <c r="D104" s="300">
        <f>INT(D103/E97)</f>
        <v>12</v>
      </c>
    </row>
    <row r="105" spans="2:8" x14ac:dyDescent="0.2">
      <c r="C105" s="33" t="s">
        <v>512</v>
      </c>
      <c r="D105" s="300">
        <f>D90*D104</f>
        <v>24</v>
      </c>
      <c r="F105" s="2" t="s">
        <v>528</v>
      </c>
      <c r="G105" s="2" t="s">
        <v>8</v>
      </c>
      <c r="H105" s="2" t="s">
        <v>523</v>
      </c>
    </row>
    <row r="106" spans="2:8" x14ac:dyDescent="0.2">
      <c r="C106" s="33" t="s">
        <v>513</v>
      </c>
      <c r="D106" s="300">
        <f>D91*D105/2</f>
        <v>12</v>
      </c>
      <c r="F106" s="2" t="s">
        <v>510</v>
      </c>
      <c r="G106" s="2" t="s">
        <v>529</v>
      </c>
      <c r="H106" s="2" t="s">
        <v>530</v>
      </c>
    </row>
    <row r="107" spans="2:8" x14ac:dyDescent="0.2">
      <c r="F107" s="45">
        <f>H90*(D109+D105)</f>
        <v>0.38926599999999989</v>
      </c>
      <c r="G107" s="300">
        <f>CEILING(F107/(H$95*H$96),1)</f>
        <v>1</v>
      </c>
      <c r="H107" s="303">
        <f>G107*H101</f>
        <v>6.9</v>
      </c>
    </row>
    <row r="108" spans="2:8" x14ac:dyDescent="0.2">
      <c r="C108" s="33" t="s">
        <v>531</v>
      </c>
      <c r="D108" s="300">
        <f>D104*E97</f>
        <v>213.60000000000002</v>
      </c>
      <c r="F108" s="45">
        <f>H91*D106</f>
        <v>5.8799999999999998E-2</v>
      </c>
      <c r="G108" s="300">
        <f>CEILING(F108/(H$95*H$96),0.5)</f>
        <v>0.5</v>
      </c>
      <c r="H108" s="303">
        <f>G108*H102</f>
        <v>4.3499999999999996</v>
      </c>
    </row>
    <row r="109" spans="2:8" x14ac:dyDescent="0.2">
      <c r="C109" s="33" t="s">
        <v>532</v>
      </c>
      <c r="D109" s="300">
        <f>INT(1+(D103-D108)/E90)</f>
        <v>10</v>
      </c>
      <c r="E109" s="236" t="s">
        <v>533</v>
      </c>
      <c r="F109" s="45">
        <f>SUM(F107:F108)</f>
        <v>0.44806599999999991</v>
      </c>
      <c r="G109" s="236" t="s">
        <v>533</v>
      </c>
      <c r="H109" s="303">
        <f>SUM(H107:H108)</f>
        <v>11.25</v>
      </c>
    </row>
    <row r="112" spans="2:8" ht="13.5" thickBot="1" x14ac:dyDescent="0.25">
      <c r="B112" t="s">
        <v>534</v>
      </c>
    </row>
    <row r="113" spans="2:10" x14ac:dyDescent="0.2">
      <c r="B113" s="304" t="s">
        <v>535</v>
      </c>
      <c r="C113" s="305"/>
      <c r="D113" s="306"/>
      <c r="F113" s="3" t="s">
        <v>536</v>
      </c>
      <c r="J113" t="s">
        <v>537</v>
      </c>
    </row>
    <row r="114" spans="2:10" x14ac:dyDescent="0.2">
      <c r="B114" s="307" t="s">
        <v>538</v>
      </c>
      <c r="C114" s="25"/>
      <c r="D114" s="308"/>
      <c r="F114" t="s">
        <v>539</v>
      </c>
      <c r="J114">
        <f>90*1.1</f>
        <v>99.000000000000014</v>
      </c>
    </row>
    <row r="115" spans="2:10" x14ac:dyDescent="0.2">
      <c r="B115" s="307" t="s">
        <v>540</v>
      </c>
      <c r="C115" s="25"/>
      <c r="D115" s="308"/>
      <c r="F115" t="s">
        <v>541</v>
      </c>
      <c r="J115" s="237">
        <f>60*2.5</f>
        <v>150</v>
      </c>
    </row>
    <row r="116" spans="2:10" ht="13.5" thickBot="1" x14ac:dyDescent="0.25">
      <c r="B116" s="309" t="s">
        <v>542</v>
      </c>
      <c r="C116" s="310"/>
      <c r="D116" s="311"/>
      <c r="F116" t="s">
        <v>543</v>
      </c>
      <c r="I116" t="s">
        <v>544</v>
      </c>
      <c r="J116">
        <f>SUM(J114:J115)</f>
        <v>249</v>
      </c>
    </row>
    <row r="118" spans="2:10" x14ac:dyDescent="0.2">
      <c r="B118" s="3"/>
    </row>
    <row r="123" spans="2:10" x14ac:dyDescent="0.2">
      <c r="B123" s="3"/>
    </row>
  </sheetData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4:P59"/>
  <sheetViews>
    <sheetView workbookViewId="0"/>
  </sheetViews>
  <sheetFormatPr baseColWidth="10" defaultColWidth="9.140625" defaultRowHeight="12.75" x14ac:dyDescent="0.2"/>
  <sheetData>
    <row r="4" spans="1:5" ht="20.25" x14ac:dyDescent="0.3">
      <c r="C4" s="46" t="s">
        <v>1005</v>
      </c>
    </row>
    <row r="5" spans="1:5" ht="13.5" thickBot="1" x14ac:dyDescent="0.25"/>
    <row r="6" spans="1:5" x14ac:dyDescent="0.2">
      <c r="A6" s="47" t="s">
        <v>1006</v>
      </c>
      <c r="B6" s="48" t="s">
        <v>1007</v>
      </c>
      <c r="C6" s="48" t="s">
        <v>1008</v>
      </c>
      <c r="D6" s="49" t="s">
        <v>1076</v>
      </c>
      <c r="E6" s="50" t="s">
        <v>1122</v>
      </c>
    </row>
    <row r="7" spans="1:5" x14ac:dyDescent="0.2">
      <c r="A7" s="51">
        <v>0</v>
      </c>
      <c r="B7" s="52">
        <f t="shared" ref="B7:B27" si="0" xml:space="preserve"> ($D$32+$D$34*A7+$D$36*A7*A7+$D$38*A7*A7*A7+$D$40*A7^4+$D$42*A7^5)/(1+$D$33*A7+$D$35*A7*A7+$D$37*A7*A7*A7+$D$39*A7^4+$D$41*A7^5)</f>
        <v>8.103163113762352E-3</v>
      </c>
      <c r="C7" s="53">
        <v>0</v>
      </c>
      <c r="D7" s="54">
        <f>C7-B7</f>
        <v>-8.103163113762352E-3</v>
      </c>
      <c r="E7" s="55"/>
    </row>
    <row r="8" spans="1:5" x14ac:dyDescent="0.2">
      <c r="A8" s="51">
        <v>1</v>
      </c>
      <c r="B8" s="52">
        <f t="shared" si="0"/>
        <v>7.0057498990398983</v>
      </c>
      <c r="C8" s="53">
        <v>7</v>
      </c>
      <c r="D8" s="54">
        <f t="shared" ref="D8:D23" si="1">C8-B8</f>
        <v>-5.7498990398983096E-3</v>
      </c>
      <c r="E8" s="56">
        <f>100*ABS(D8/C8)</f>
        <v>8.214141485569014E-2</v>
      </c>
    </row>
    <row r="9" spans="1:5" x14ac:dyDescent="0.2">
      <c r="A9" s="51">
        <v>2</v>
      </c>
      <c r="B9" s="52">
        <f t="shared" si="0"/>
        <v>15.124080239884913</v>
      </c>
      <c r="C9" s="53">
        <v>15</v>
      </c>
      <c r="D9" s="54">
        <f t="shared" si="1"/>
        <v>-0.12408023988491301</v>
      </c>
      <c r="E9" s="56">
        <f>100*ABS(D9/C9)</f>
        <v>0.82720159923275349</v>
      </c>
    </row>
    <row r="10" spans="1:5" x14ac:dyDescent="0.2">
      <c r="A10" s="51">
        <v>3</v>
      </c>
      <c r="B10" s="52">
        <f t="shared" si="0"/>
        <v>25.274560378849454</v>
      </c>
      <c r="C10" s="53">
        <v>25</v>
      </c>
      <c r="D10" s="54">
        <f t="shared" si="1"/>
        <v>-0.27456037884945417</v>
      </c>
      <c r="E10" s="56">
        <f t="shared" ref="E10:E23" si="2">100*ABS(D10/C10)</f>
        <v>1.0982415153978167</v>
      </c>
    </row>
    <row r="11" spans="1:5" x14ac:dyDescent="0.2">
      <c r="A11" s="51">
        <v>4</v>
      </c>
      <c r="B11" s="52">
        <f t="shared" si="0"/>
        <v>38.649726274730874</v>
      </c>
      <c r="C11" s="53">
        <v>39</v>
      </c>
      <c r="D11" s="54">
        <f t="shared" si="1"/>
        <v>0.35027372526912615</v>
      </c>
      <c r="E11" s="56">
        <f t="shared" si="2"/>
        <v>0.89813775710032351</v>
      </c>
    </row>
    <row r="12" spans="1:5" x14ac:dyDescent="0.2">
      <c r="A12" s="51">
        <v>5</v>
      </c>
      <c r="B12" s="52">
        <f t="shared" si="0"/>
        <v>56.593753580760904</v>
      </c>
      <c r="C12" s="53">
        <v>56.5</v>
      </c>
      <c r="D12" s="54">
        <f t="shared" si="1"/>
        <v>-9.3753580760903787E-2</v>
      </c>
      <c r="E12" s="56">
        <f t="shared" si="2"/>
        <v>0.16593554116974121</v>
      </c>
    </row>
    <row r="13" spans="1:5" x14ac:dyDescent="0.2">
      <c r="A13" s="51">
        <v>6</v>
      </c>
      <c r="B13" s="52">
        <f t="shared" si="0"/>
        <v>80.230378556760769</v>
      </c>
      <c r="C13" s="53">
        <v>80</v>
      </c>
      <c r="D13" s="54">
        <f t="shared" si="1"/>
        <v>-0.23037855676076902</v>
      </c>
      <c r="E13" s="56">
        <f t="shared" si="2"/>
        <v>0.28797319595096127</v>
      </c>
    </row>
    <row r="14" spans="1:5" x14ac:dyDescent="0.2">
      <c r="A14" s="51">
        <v>7</v>
      </c>
      <c r="B14" s="52">
        <f t="shared" si="0"/>
        <v>109.63868383419012</v>
      </c>
      <c r="C14" s="53">
        <v>110</v>
      </c>
      <c r="D14" s="54">
        <f t="shared" si="1"/>
        <v>0.3613161658098818</v>
      </c>
      <c r="E14" s="56">
        <f t="shared" si="2"/>
        <v>0.32846924164534708</v>
      </c>
    </row>
    <row r="15" spans="1:5" x14ac:dyDescent="0.2">
      <c r="A15" s="51">
        <v>8</v>
      </c>
      <c r="B15" s="52">
        <f t="shared" si="0"/>
        <v>142.78380754953307</v>
      </c>
      <c r="C15" s="53">
        <v>142.5</v>
      </c>
      <c r="D15" s="54">
        <f t="shared" si="1"/>
        <v>-0.28380754953306564</v>
      </c>
      <c r="E15" s="56">
        <f t="shared" si="2"/>
        <v>0.19916319265478291</v>
      </c>
    </row>
    <row r="16" spans="1:5" x14ac:dyDescent="0.2">
      <c r="A16" s="51">
        <v>9</v>
      </c>
      <c r="B16" s="52">
        <f t="shared" si="0"/>
        <v>176.47007496234559</v>
      </c>
      <c r="C16" s="53">
        <v>176.5</v>
      </c>
      <c r="D16" s="54">
        <f t="shared" si="1"/>
        <v>2.9925037654408015E-2</v>
      </c>
      <c r="E16" s="56">
        <f t="shared" si="2"/>
        <v>1.6954695554905391E-2</v>
      </c>
    </row>
    <row r="17" spans="1:8" x14ac:dyDescent="0.2">
      <c r="A17" s="51">
        <v>10</v>
      </c>
      <c r="B17" s="52">
        <f t="shared" si="0"/>
        <v>209.71480529698408</v>
      </c>
      <c r="C17" s="53">
        <v>210</v>
      </c>
      <c r="D17" s="54">
        <f t="shared" si="1"/>
        <v>0.28519470301591809</v>
      </c>
      <c r="E17" s="56">
        <f t="shared" si="2"/>
        <v>0.13580700143615146</v>
      </c>
    </row>
    <row r="18" spans="1:8" x14ac:dyDescent="0.2">
      <c r="A18" s="51">
        <v>11</v>
      </c>
      <c r="B18" s="52">
        <f t="shared" si="0"/>
        <v>243.38836567523171</v>
      </c>
      <c r="C18" s="53">
        <v>243</v>
      </c>
      <c r="D18" s="54">
        <f t="shared" si="1"/>
        <v>-0.38836567523171084</v>
      </c>
      <c r="E18" s="56">
        <f t="shared" si="2"/>
        <v>0.15982126552745302</v>
      </c>
    </row>
    <row r="19" spans="1:8" x14ac:dyDescent="0.2">
      <c r="A19" s="51">
        <v>12</v>
      </c>
      <c r="B19" s="52">
        <f t="shared" si="0"/>
        <v>277.77440909921864</v>
      </c>
      <c r="C19" s="53">
        <v>278</v>
      </c>
      <c r="D19" s="54">
        <f t="shared" si="1"/>
        <v>0.22559090078135569</v>
      </c>
      <c r="E19" s="56">
        <f t="shared" si="2"/>
        <v>8.114780603645888E-2</v>
      </c>
    </row>
    <row r="20" spans="1:8" x14ac:dyDescent="0.2">
      <c r="A20" s="51">
        <v>13</v>
      </c>
      <c r="B20" s="52">
        <f t="shared" si="0"/>
        <v>312.50630604359776</v>
      </c>
      <c r="C20" s="53">
        <v>312.5</v>
      </c>
      <c r="D20" s="54">
        <f t="shared" si="1"/>
        <v>-6.3060435977604357E-3</v>
      </c>
      <c r="E20" s="56">
        <f t="shared" si="2"/>
        <v>2.0179339512833394E-3</v>
      </c>
    </row>
    <row r="21" spans="1:8" x14ac:dyDescent="0.2">
      <c r="A21" s="51">
        <v>14</v>
      </c>
      <c r="B21" s="52">
        <f t="shared" si="0"/>
        <v>347.21069674759514</v>
      </c>
      <c r="C21" s="53">
        <v>347</v>
      </c>
      <c r="D21" s="54">
        <f t="shared" si="1"/>
        <v>-0.21069674759513646</v>
      </c>
      <c r="E21" s="56">
        <f t="shared" si="2"/>
        <v>6.0719523802632978E-2</v>
      </c>
    </row>
    <row r="22" spans="1:8" x14ac:dyDescent="0.2">
      <c r="A22" s="51">
        <v>15</v>
      </c>
      <c r="B22" s="52">
        <f t="shared" si="0"/>
        <v>381.73152190474656</v>
      </c>
      <c r="C22" s="53">
        <v>382</v>
      </c>
      <c r="D22" s="54">
        <f t="shared" si="1"/>
        <v>0.26847809525344246</v>
      </c>
      <c r="E22" s="56">
        <f t="shared" si="2"/>
        <v>7.0282223888335715E-2</v>
      </c>
    </row>
    <row r="23" spans="1:8" x14ac:dyDescent="0.2">
      <c r="A23" s="51">
        <v>16</v>
      </c>
      <c r="B23" s="52">
        <f t="shared" si="0"/>
        <v>416.10474684021005</v>
      </c>
      <c r="C23" s="53">
        <v>416</v>
      </c>
      <c r="D23" s="54">
        <f t="shared" si="1"/>
        <v>-0.10474684021005487</v>
      </c>
      <c r="E23" s="56">
        <f t="shared" si="2"/>
        <v>2.5179528896647804E-2</v>
      </c>
    </row>
    <row r="24" spans="1:8" x14ac:dyDescent="0.2">
      <c r="A24" s="51">
        <v>17</v>
      </c>
      <c r="B24" s="57">
        <f t="shared" si="0"/>
        <v>450.48336313795664</v>
      </c>
      <c r="C24" s="58"/>
      <c r="D24" s="59" t="s">
        <v>1009</v>
      </c>
      <c r="E24" s="60"/>
      <c r="F24" s="61"/>
    </row>
    <row r="25" spans="1:8" x14ac:dyDescent="0.2">
      <c r="A25" s="51">
        <v>18</v>
      </c>
      <c r="B25" s="57">
        <f t="shared" si="0"/>
        <v>485.07735959038456</v>
      </c>
      <c r="C25" s="58"/>
      <c r="D25" s="59" t="s">
        <v>1009</v>
      </c>
      <c r="E25" s="60"/>
    </row>
    <row r="26" spans="1:8" x14ac:dyDescent="0.2">
      <c r="A26" s="51">
        <v>19</v>
      </c>
      <c r="B26" s="57">
        <f t="shared" si="0"/>
        <v>520.11711934184621</v>
      </c>
      <c r="C26" s="58"/>
      <c r="D26" s="59" t="s">
        <v>1009</v>
      </c>
      <c r="E26" s="60"/>
    </row>
    <row r="27" spans="1:8" ht="13.5" thickBot="1" x14ac:dyDescent="0.25">
      <c r="A27" s="62">
        <v>20</v>
      </c>
      <c r="B27" s="63">
        <f t="shared" si="0"/>
        <v>555.83457879942705</v>
      </c>
      <c r="C27" s="64"/>
      <c r="D27" s="65" t="s">
        <v>1009</v>
      </c>
      <c r="E27" s="66"/>
    </row>
    <row r="30" spans="1:8" x14ac:dyDescent="0.2">
      <c r="A30" t="s">
        <v>1010</v>
      </c>
      <c r="C30" t="s">
        <v>841</v>
      </c>
    </row>
    <row r="31" spans="1:8" x14ac:dyDescent="0.2">
      <c r="C31" t="s">
        <v>844</v>
      </c>
      <c r="D31" t="s">
        <v>845</v>
      </c>
      <c r="E31" t="s">
        <v>846</v>
      </c>
      <c r="F31" t="s">
        <v>847</v>
      </c>
      <c r="G31" t="s">
        <v>848</v>
      </c>
      <c r="H31" t="s">
        <v>848</v>
      </c>
    </row>
    <row r="32" spans="1:8" x14ac:dyDescent="0.2">
      <c r="A32" t="s">
        <v>849</v>
      </c>
      <c r="B32" t="s">
        <v>841</v>
      </c>
      <c r="C32" s="2" t="s">
        <v>850</v>
      </c>
      <c r="D32">
        <v>8.103163113762352E-3</v>
      </c>
      <c r="E32">
        <v>1.9691013873227272E-5</v>
      </c>
      <c r="F32">
        <v>411.5157891783191</v>
      </c>
      <c r="G32">
        <v>8.054980938581438E-3</v>
      </c>
      <c r="H32">
        <v>8.1513452889432642E-3</v>
      </c>
    </row>
    <row r="33" spans="1:16" x14ac:dyDescent="0.2">
      <c r="A33" t="s">
        <v>852</v>
      </c>
      <c r="B33">
        <v>7909</v>
      </c>
      <c r="C33" s="2" t="s">
        <v>853</v>
      </c>
      <c r="D33">
        <v>-0.34462926854037529</v>
      </c>
      <c r="E33">
        <v>6.4311385944403141E-4</v>
      </c>
      <c r="F33">
        <v>-535.8759782261659</v>
      </c>
      <c r="G33">
        <v>-0.34620291146381743</v>
      </c>
      <c r="H33">
        <v>-0.34305562561693309</v>
      </c>
    </row>
    <row r="34" spans="1:16" x14ac:dyDescent="0.2">
      <c r="A34" t="s">
        <v>857</v>
      </c>
      <c r="B34">
        <v>0.99999718154330086</v>
      </c>
      <c r="C34" s="2" t="s">
        <v>858</v>
      </c>
      <c r="D34">
        <v>6.6646780511440982</v>
      </c>
      <c r="E34">
        <v>7.0940806867299667E-5</v>
      </c>
      <c r="F34">
        <v>93947.029156447301</v>
      </c>
      <c r="G34">
        <v>6.66450446524314</v>
      </c>
      <c r="H34">
        <v>6.6648516370450555</v>
      </c>
    </row>
    <row r="35" spans="1:16" x14ac:dyDescent="0.2">
      <c r="A35" t="s">
        <v>860</v>
      </c>
      <c r="B35">
        <v>0.99999098093856287</v>
      </c>
      <c r="C35" s="2" t="s">
        <v>861</v>
      </c>
      <c r="D35">
        <v>5.1350947397014741E-2</v>
      </c>
      <c r="E35">
        <v>6.1457831358275965E-4</v>
      </c>
      <c r="F35">
        <v>83.554766352978021</v>
      </c>
      <c r="G35">
        <v>4.9847128438880929E-2</v>
      </c>
      <c r="H35">
        <v>5.2854766355148554E-2</v>
      </c>
    </row>
    <row r="36" spans="1:16" x14ac:dyDescent="0.2">
      <c r="A36" t="s">
        <v>862</v>
      </c>
      <c r="B36">
        <v>0.38686039158312335</v>
      </c>
      <c r="C36" s="2" t="s">
        <v>863</v>
      </c>
      <c r="D36">
        <v>-2.0595087169572923</v>
      </c>
      <c r="E36">
        <v>2.177892801459539E-4</v>
      </c>
      <c r="F36">
        <v>-9456.4283218030268</v>
      </c>
      <c r="G36">
        <v>-2.0600416281276401</v>
      </c>
      <c r="H36">
        <v>-2.0589758057869445</v>
      </c>
    </row>
    <row r="37" spans="1:16" x14ac:dyDescent="0.2">
      <c r="A37" t="s">
        <v>865</v>
      </c>
      <c r="B37">
        <v>212881.86159382042</v>
      </c>
      <c r="C37" s="2" t="s">
        <v>866</v>
      </c>
      <c r="D37">
        <v>-4.0299264697933367E-3</v>
      </c>
      <c r="E37">
        <v>8.6530831098646663E-5</v>
      </c>
      <c r="F37">
        <v>-46.572145657530434</v>
      </c>
      <c r="G37">
        <v>-4.2416597857813836E-3</v>
      </c>
      <c r="H37">
        <v>-3.8181931538052898E-3</v>
      </c>
    </row>
    <row r="38" spans="1:16" x14ac:dyDescent="0.2">
      <c r="A38" t="s">
        <v>871</v>
      </c>
      <c r="B38" t="s">
        <v>1011</v>
      </c>
      <c r="C38" s="2" t="s">
        <v>873</v>
      </c>
      <c r="D38">
        <v>0.34222426119485005</v>
      </c>
      <c r="E38">
        <v>5.0596355478085722E-4</v>
      </c>
      <c r="F38">
        <v>676.38124912588637</v>
      </c>
      <c r="G38">
        <v>0.34098621297709142</v>
      </c>
      <c r="H38">
        <v>0.34346230941260864</v>
      </c>
    </row>
    <row r="39" spans="1:16" x14ac:dyDescent="0.2">
      <c r="A39" t="s">
        <v>876</v>
      </c>
      <c r="B39" t="s">
        <v>1077</v>
      </c>
      <c r="C39" s="2" t="s">
        <v>877</v>
      </c>
      <c r="D39">
        <v>1.6091340444311558E-4</v>
      </c>
      <c r="E39">
        <v>4.811739779639346E-6</v>
      </c>
      <c r="F39">
        <v>33.441834307834597</v>
      </c>
      <c r="G39">
        <v>1.4913950135817723E-4</v>
      </c>
      <c r="H39">
        <v>1.7268730752805389E-4</v>
      </c>
    </row>
    <row r="40" spans="1:16" x14ac:dyDescent="0.2">
      <c r="C40" s="2" t="s">
        <v>878</v>
      </c>
      <c r="D40">
        <v>-3.2967531556915383E-2</v>
      </c>
      <c r="E40">
        <v>7.4211094648599877E-4</v>
      </c>
      <c r="F40">
        <v>-44.423993087585288</v>
      </c>
      <c r="G40">
        <v>-3.4783411625735915E-2</v>
      </c>
      <c r="H40">
        <v>-3.1151651488094845E-2</v>
      </c>
    </row>
    <row r="41" spans="1:16" x14ac:dyDescent="0.2">
      <c r="C41" s="2" t="s">
        <v>879</v>
      </c>
      <c r="D41">
        <v>-1.7204994913897629E-6</v>
      </c>
      <c r="E41">
        <v>1.5262443727889373E-7</v>
      </c>
      <c r="F41">
        <v>-11.272765502459212</v>
      </c>
      <c r="G41">
        <v>-2.0939580355360619E-6</v>
      </c>
      <c r="H41">
        <v>-1.3470409472434639E-6</v>
      </c>
      <c r="P41" s="17"/>
    </row>
    <row r="42" spans="1:16" x14ac:dyDescent="0.2">
      <c r="C42" s="2" t="s">
        <v>882</v>
      </c>
      <c r="D42">
        <v>1.4687120796037577E-3</v>
      </c>
      <c r="E42">
        <v>1.4798317325701702E-4</v>
      </c>
      <c r="F42">
        <v>9.9248586665519074</v>
      </c>
      <c r="G42">
        <v>1.1066102993906245E-3</v>
      </c>
      <c r="H42">
        <v>1.8308138598168908E-3</v>
      </c>
      <c r="P42" s="17"/>
    </row>
    <row r="43" spans="1:16" x14ac:dyDescent="0.2">
      <c r="P43" s="17"/>
    </row>
    <row r="44" spans="1:16" x14ac:dyDescent="0.2">
      <c r="P44" s="17"/>
    </row>
    <row r="45" spans="1:16" x14ac:dyDescent="0.2">
      <c r="E45" s="2" t="s">
        <v>827</v>
      </c>
      <c r="G45" s="2" t="s">
        <v>992</v>
      </c>
      <c r="P45" s="17"/>
    </row>
    <row r="46" spans="1:16" x14ac:dyDescent="0.2">
      <c r="P46" s="17"/>
    </row>
    <row r="47" spans="1:16" x14ac:dyDescent="0.2">
      <c r="A47" t="s">
        <v>993</v>
      </c>
      <c r="E47" s="42">
        <v>614.75227676620921</v>
      </c>
      <c r="F47" t="s">
        <v>855</v>
      </c>
      <c r="G47" s="16">
        <f>E47</f>
        <v>614.75227676620921</v>
      </c>
      <c r="H47" t="s">
        <v>855</v>
      </c>
      <c r="P47" s="17"/>
    </row>
    <row r="48" spans="1:16" x14ac:dyDescent="0.2">
      <c r="A48" t="s">
        <v>994</v>
      </c>
      <c r="E48" s="17">
        <v>140.05634992086789</v>
      </c>
      <c r="F48" t="s">
        <v>995</v>
      </c>
      <c r="G48" s="10">
        <f>E48/1000</f>
        <v>0.14005634992086788</v>
      </c>
      <c r="H48" t="s">
        <v>898</v>
      </c>
      <c r="P48" s="17"/>
    </row>
    <row r="49" spans="1:16" x14ac:dyDescent="0.2">
      <c r="A49" t="s">
        <v>997</v>
      </c>
      <c r="E49" s="43">
        <v>63.500149293972676</v>
      </c>
      <c r="F49" t="s">
        <v>834</v>
      </c>
      <c r="G49" s="10">
        <f>E49/2.54</f>
        <v>25.000058777154596</v>
      </c>
      <c r="H49" t="s">
        <v>835</v>
      </c>
      <c r="P49" s="17"/>
    </row>
    <row r="50" spans="1:16" x14ac:dyDescent="0.2">
      <c r="A50" t="s">
        <v>998</v>
      </c>
      <c r="E50" s="17">
        <v>28.502429722099052</v>
      </c>
      <c r="F50" t="s">
        <v>999</v>
      </c>
      <c r="G50" s="10">
        <f>E50/(2.54*2.54)</f>
        <v>4.4178854426962388</v>
      </c>
      <c r="H50" t="s">
        <v>1000</v>
      </c>
      <c r="P50" s="17"/>
    </row>
    <row r="51" spans="1:16" x14ac:dyDescent="0.2">
      <c r="A51" t="s">
        <v>1001</v>
      </c>
      <c r="E51" s="10">
        <f>SQRT(4*E50/PI())</f>
        <v>6.0241531058906004</v>
      </c>
      <c r="F51" t="s">
        <v>834</v>
      </c>
      <c r="G51" s="10">
        <f>E51/2.54</f>
        <v>2.3717138212167717</v>
      </c>
      <c r="H51" t="s">
        <v>835</v>
      </c>
      <c r="P51" s="17"/>
    </row>
    <row r="52" spans="1:16" x14ac:dyDescent="0.2">
      <c r="A52" t="s">
        <v>1002</v>
      </c>
      <c r="E52" s="115">
        <v>10</v>
      </c>
      <c r="F52" t="s">
        <v>855</v>
      </c>
      <c r="G52" s="44">
        <f>E52</f>
        <v>10</v>
      </c>
      <c r="H52" t="s">
        <v>855</v>
      </c>
    </row>
    <row r="53" spans="1:16" x14ac:dyDescent="0.2">
      <c r="A53" t="s">
        <v>899</v>
      </c>
      <c r="G53" s="10">
        <f>($D$32+$D$34*G52+$D$36*G52^2+$D$38*G52^3+$D$40*G52^4+$D$42*G52^5)/(1+$D$33*G52+$D$35*G52^2+$D$37*G52^3+$D$39*G52^4+$D$41*G52^5)</f>
        <v>209.71480529698545</v>
      </c>
    </row>
    <row r="55" spans="1:16" x14ac:dyDescent="0.2">
      <c r="A55" t="s">
        <v>1003</v>
      </c>
      <c r="G55" s="45">
        <f>10000*SQRT(G48*G49/(G50*G53))</f>
        <v>614.75227676620716</v>
      </c>
      <c r="H55" t="s">
        <v>855</v>
      </c>
    </row>
    <row r="56" spans="1:16" x14ac:dyDescent="0.2">
      <c r="A56" t="s">
        <v>1004</v>
      </c>
      <c r="G56" s="45">
        <f>(G47/10000)^2*G50*G53/G49</f>
        <v>0.14005634992086882</v>
      </c>
      <c r="H56" t="s">
        <v>898</v>
      </c>
    </row>
    <row r="58" spans="1:16" x14ac:dyDescent="0.2">
      <c r="G58" t="s">
        <v>996</v>
      </c>
    </row>
    <row r="59" spans="1:16" x14ac:dyDescent="0.2">
      <c r="G59" s="10">
        <f>0.001*7.8*E49*E50</f>
        <v>14.11728663223518</v>
      </c>
      <c r="H59" t="s">
        <v>874</v>
      </c>
    </row>
  </sheetData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32"/>
  <sheetViews>
    <sheetView topLeftCell="A3" workbookViewId="0"/>
  </sheetViews>
  <sheetFormatPr baseColWidth="10" defaultColWidth="9.140625" defaultRowHeight="12.75" x14ac:dyDescent="0.2"/>
  <cols>
    <col min="1" max="3" width="11.140625" customWidth="1"/>
  </cols>
  <sheetData>
    <row r="2" spans="1:3" x14ac:dyDescent="0.2">
      <c r="A2" s="3" t="s">
        <v>1168</v>
      </c>
    </row>
    <row r="3" spans="1:3" x14ac:dyDescent="0.2">
      <c r="A3" t="s">
        <v>1167</v>
      </c>
    </row>
    <row r="5" spans="1:3" x14ac:dyDescent="0.2">
      <c r="A5" s="2" t="s">
        <v>1164</v>
      </c>
      <c r="B5" s="2" t="s">
        <v>1165</v>
      </c>
      <c r="C5" s="2" t="s">
        <v>1166</v>
      </c>
    </row>
    <row r="6" spans="1:3" x14ac:dyDescent="0.2">
      <c r="A6" s="2" t="s">
        <v>1163</v>
      </c>
      <c r="B6" s="2" t="s">
        <v>1162</v>
      </c>
      <c r="C6" s="2" t="s">
        <v>1162</v>
      </c>
    </row>
    <row r="7" spans="1:3" x14ac:dyDescent="0.2">
      <c r="A7" s="2">
        <v>0</v>
      </c>
      <c r="B7" s="2">
        <v>0.4</v>
      </c>
      <c r="C7" s="114">
        <f>0.277513707713303+0.126392777117194*EXP(-A7/(-6.84564814481717))</f>
        <v>0.40390648483049701</v>
      </c>
    </row>
    <row r="8" spans="1:3" x14ac:dyDescent="0.2">
      <c r="A8" s="2">
        <v>2</v>
      </c>
      <c r="B8" s="2">
        <v>0.44</v>
      </c>
      <c r="C8" s="114">
        <f t="shared" ref="C8:C15" si="0">0.277513707713303+0.126392777117194*EXP(-A8/(-6.84564814481717))</f>
        <v>0.44679313222635675</v>
      </c>
    </row>
    <row r="9" spans="1:3" x14ac:dyDescent="0.2">
      <c r="A9" s="2">
        <v>4</v>
      </c>
      <c r="B9" s="2">
        <v>0.5</v>
      </c>
      <c r="C9" s="114">
        <f t="shared" si="0"/>
        <v>0.50423175455945035</v>
      </c>
    </row>
    <row r="10" spans="1:3" x14ac:dyDescent="0.2">
      <c r="A10" s="2">
        <v>6</v>
      </c>
      <c r="B10" s="2">
        <v>0.59</v>
      </c>
      <c r="C10" s="114">
        <f t="shared" si="0"/>
        <v>0.58116001861961242</v>
      </c>
    </row>
    <row r="11" spans="1:3" x14ac:dyDescent="0.2">
      <c r="A11" s="2">
        <v>8</v>
      </c>
      <c r="B11" s="2">
        <v>0.7</v>
      </c>
      <c r="C11" s="114">
        <f t="shared" si="0"/>
        <v>0.6841910031893863</v>
      </c>
    </row>
    <row r="12" spans="1:3" x14ac:dyDescent="0.2">
      <c r="A12" s="2">
        <v>10</v>
      </c>
      <c r="B12" s="2">
        <v>0.83</v>
      </c>
      <c r="C12" s="114">
        <f t="shared" si="0"/>
        <v>0.82218168725207574</v>
      </c>
    </row>
    <row r="13" spans="1:3" x14ac:dyDescent="0.2">
      <c r="A13" s="2">
        <v>12</v>
      </c>
      <c r="B13" s="2">
        <v>1</v>
      </c>
      <c r="C13" s="114">
        <f t="shared" si="0"/>
        <v>1.0069943333468421</v>
      </c>
    </row>
    <row r="14" spans="1:3" x14ac:dyDescent="0.2">
      <c r="A14" s="2">
        <v>14</v>
      </c>
      <c r="B14" s="2">
        <v>1.23</v>
      </c>
      <c r="C14" s="114">
        <f t="shared" si="0"/>
        <v>1.254516217802697</v>
      </c>
    </row>
    <row r="15" spans="1:3" x14ac:dyDescent="0.2">
      <c r="A15" s="2">
        <v>16</v>
      </c>
      <c r="B15" s="2">
        <v>1.6</v>
      </c>
      <c r="C15" s="114">
        <f t="shared" si="0"/>
        <v>1.5860253681730765</v>
      </c>
    </row>
    <row r="23" spans="1:1" x14ac:dyDescent="0.2">
      <c r="A23" t="s">
        <v>1169</v>
      </c>
    </row>
    <row r="25" spans="1:1" x14ac:dyDescent="0.2">
      <c r="A25" t="s">
        <v>1170</v>
      </c>
    </row>
    <row r="27" spans="1:1" x14ac:dyDescent="0.2">
      <c r="A27" t="s">
        <v>1171</v>
      </c>
    </row>
    <row r="29" spans="1:1" x14ac:dyDescent="0.2">
      <c r="A29" t="s">
        <v>1161</v>
      </c>
    </row>
    <row r="31" spans="1:1" x14ac:dyDescent="0.2">
      <c r="A31" t="s">
        <v>1172</v>
      </c>
    </row>
    <row r="32" spans="1:1" x14ac:dyDescent="0.2">
      <c r="A32" t="s">
        <v>1173</v>
      </c>
    </row>
  </sheetData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V320"/>
  <sheetViews>
    <sheetView workbookViewId="0">
      <selection activeCell="L21" sqref="L21"/>
    </sheetView>
  </sheetViews>
  <sheetFormatPr baseColWidth="10" defaultColWidth="9.140625" defaultRowHeight="12.75" x14ac:dyDescent="0.2"/>
  <sheetData>
    <row r="1" spans="1:9" ht="23.25" x14ac:dyDescent="0.35">
      <c r="A1" s="1" t="s">
        <v>824</v>
      </c>
    </row>
    <row r="3" spans="1:9" x14ac:dyDescent="0.2">
      <c r="C3" t="s">
        <v>1021</v>
      </c>
      <c r="D3" s="286" t="s">
        <v>333</v>
      </c>
    </row>
    <row r="5" spans="1:9" ht="20.25" x14ac:dyDescent="0.3">
      <c r="E5" s="210" t="s">
        <v>95</v>
      </c>
    </row>
    <row r="7" spans="1:9" x14ac:dyDescent="0.2">
      <c r="A7" s="130"/>
      <c r="B7" s="148"/>
      <c r="C7" s="148"/>
      <c r="D7" s="148"/>
      <c r="E7" s="148"/>
      <c r="F7" s="148"/>
      <c r="G7" s="148"/>
      <c r="H7" s="148"/>
      <c r="I7" s="131"/>
    </row>
    <row r="8" spans="1:9" x14ac:dyDescent="0.2">
      <c r="A8" s="144"/>
      <c r="B8" s="25"/>
      <c r="C8" s="25"/>
      <c r="D8" s="25"/>
      <c r="E8" s="212" t="s">
        <v>59</v>
      </c>
      <c r="F8" s="25"/>
      <c r="G8" s="25"/>
      <c r="H8" s="25"/>
      <c r="I8" s="133"/>
    </row>
    <row r="9" spans="1:9" x14ac:dyDescent="0.2">
      <c r="A9" s="144"/>
      <c r="B9" s="25"/>
      <c r="C9" s="25"/>
      <c r="D9" s="25"/>
      <c r="E9" s="25"/>
      <c r="F9" s="25"/>
      <c r="G9" s="25"/>
      <c r="H9" s="25"/>
      <c r="I9" s="133"/>
    </row>
    <row r="10" spans="1:9" x14ac:dyDescent="0.2">
      <c r="A10" s="211" t="s">
        <v>1237</v>
      </c>
      <c r="B10" s="25"/>
      <c r="C10" s="25"/>
      <c r="D10" s="25"/>
      <c r="E10" s="25"/>
      <c r="F10" s="212" t="s">
        <v>57</v>
      </c>
      <c r="G10" s="25"/>
      <c r="H10" s="25"/>
      <c r="I10" s="133"/>
    </row>
    <row r="11" spans="1:9" x14ac:dyDescent="0.2">
      <c r="A11" s="144" t="s">
        <v>52</v>
      </c>
      <c r="B11" s="25"/>
      <c r="C11" s="25"/>
      <c r="D11" s="213">
        <f>E141</f>
        <v>4.4599996460990354</v>
      </c>
      <c r="E11" s="25" t="s">
        <v>874</v>
      </c>
      <c r="F11" s="25"/>
      <c r="G11" s="25"/>
      <c r="H11" s="25"/>
      <c r="I11" s="133"/>
    </row>
    <row r="12" spans="1:9" x14ac:dyDescent="0.2">
      <c r="A12" s="144" t="s">
        <v>53</v>
      </c>
      <c r="B12" s="25"/>
      <c r="C12" s="25"/>
      <c r="D12" s="214">
        <f>10*E147</f>
        <v>42.560476143483825</v>
      </c>
      <c r="E12" s="25" t="s">
        <v>904</v>
      </c>
      <c r="F12" s="25"/>
      <c r="G12" s="25"/>
      <c r="H12" s="25"/>
      <c r="I12" s="133"/>
    </row>
    <row r="13" spans="1:9" x14ac:dyDescent="0.2">
      <c r="A13" s="144" t="s">
        <v>54</v>
      </c>
      <c r="B13" s="25"/>
      <c r="C13" s="25"/>
      <c r="D13" s="214">
        <f>10*E148</f>
        <v>423.58767576477965</v>
      </c>
      <c r="E13" s="25" t="s">
        <v>904</v>
      </c>
      <c r="F13" s="25" t="s">
        <v>954</v>
      </c>
      <c r="G13" s="25"/>
      <c r="H13" s="216">
        <f>10*E152</f>
        <v>48</v>
      </c>
      <c r="I13" s="133" t="s">
        <v>904</v>
      </c>
    </row>
    <row r="14" spans="1:9" x14ac:dyDescent="0.2">
      <c r="A14" s="144" t="s">
        <v>56</v>
      </c>
      <c r="B14" s="25"/>
      <c r="C14" s="25"/>
      <c r="D14" s="214">
        <f>10*E158</f>
        <v>381.02719962129584</v>
      </c>
      <c r="E14" s="25" t="s">
        <v>904</v>
      </c>
      <c r="F14" s="25" t="s">
        <v>1125</v>
      </c>
      <c r="G14" s="25"/>
      <c r="H14" s="216">
        <f>10*E153</f>
        <v>50</v>
      </c>
      <c r="I14" s="133" t="s">
        <v>904</v>
      </c>
    </row>
    <row r="15" spans="1:9" ht="14.25" x14ac:dyDescent="0.2">
      <c r="A15" s="144" t="s">
        <v>55</v>
      </c>
      <c r="B15" s="25"/>
      <c r="C15" s="25"/>
      <c r="D15" s="216">
        <f>E149</f>
        <v>14.226656225453873</v>
      </c>
      <c r="E15" s="25" t="s">
        <v>1103</v>
      </c>
      <c r="F15" s="25" t="s">
        <v>1214</v>
      </c>
      <c r="G15" s="25"/>
      <c r="H15" s="215">
        <f>10*E154</f>
        <v>500</v>
      </c>
      <c r="I15" s="133" t="s">
        <v>904</v>
      </c>
    </row>
    <row r="16" spans="1:9" ht="14.25" x14ac:dyDescent="0.2">
      <c r="A16" s="144" t="s">
        <v>96</v>
      </c>
      <c r="B16" s="25"/>
      <c r="C16" s="25"/>
      <c r="D16" s="216">
        <f>E150</f>
        <v>12.803990602908486</v>
      </c>
      <c r="E16" s="25" t="s">
        <v>1103</v>
      </c>
      <c r="F16" s="25" t="s">
        <v>58</v>
      </c>
      <c r="G16" s="25"/>
      <c r="H16" s="215">
        <f>10*E155</f>
        <v>1.0000000000000009</v>
      </c>
      <c r="I16" s="133" t="s">
        <v>904</v>
      </c>
    </row>
    <row r="17" spans="1:9" x14ac:dyDescent="0.2">
      <c r="A17" s="141"/>
      <c r="B17" s="142"/>
      <c r="C17" s="142"/>
      <c r="D17" s="142"/>
      <c r="E17" s="142"/>
      <c r="F17" s="142"/>
      <c r="G17" s="142"/>
      <c r="H17" s="142"/>
      <c r="I17" s="135"/>
    </row>
    <row r="18" spans="1:9" x14ac:dyDescent="0.2">
      <c r="A18" s="130"/>
      <c r="B18" s="148"/>
      <c r="C18" s="148"/>
      <c r="D18" s="148"/>
      <c r="E18" s="148"/>
      <c r="F18" s="148"/>
      <c r="G18" s="148"/>
      <c r="H18" s="148"/>
      <c r="I18" s="131"/>
    </row>
    <row r="19" spans="1:9" x14ac:dyDescent="0.2">
      <c r="A19" s="144"/>
      <c r="B19" s="25"/>
      <c r="C19" s="25"/>
      <c r="D19" s="25"/>
      <c r="E19" s="212" t="s">
        <v>1088</v>
      </c>
      <c r="F19" s="25"/>
      <c r="G19" s="25"/>
      <c r="H19" s="25"/>
      <c r="I19" s="133"/>
    </row>
    <row r="20" spans="1:9" x14ac:dyDescent="0.2">
      <c r="A20" s="211" t="s">
        <v>64</v>
      </c>
      <c r="B20" s="25"/>
      <c r="C20" s="25"/>
      <c r="D20" s="25"/>
      <c r="E20" s="25"/>
      <c r="F20" s="25"/>
      <c r="G20" s="25"/>
      <c r="H20" s="25"/>
      <c r="I20" s="133"/>
    </row>
    <row r="21" spans="1:9" x14ac:dyDescent="0.2">
      <c r="A21" s="144" t="s">
        <v>77</v>
      </c>
      <c r="B21" s="25"/>
      <c r="C21" s="25"/>
      <c r="D21" s="217">
        <f>E181</f>
        <v>205.75000000000006</v>
      </c>
      <c r="E21" s="25" t="s">
        <v>913</v>
      </c>
      <c r="F21" s="217">
        <f>E168</f>
        <v>205.74921328079921</v>
      </c>
      <c r="G21" s="25" t="s">
        <v>63</v>
      </c>
      <c r="H21" s="25"/>
      <c r="I21" s="133"/>
    </row>
    <row r="22" spans="1:9" x14ac:dyDescent="0.2">
      <c r="A22" s="144" t="s">
        <v>60</v>
      </c>
      <c r="B22" s="25"/>
      <c r="C22" s="25"/>
      <c r="D22" s="25">
        <f>E172</f>
        <v>2.9853999999999998</v>
      </c>
      <c r="E22" s="25" t="s">
        <v>904</v>
      </c>
      <c r="F22" s="25">
        <f>E171</f>
        <v>2.3547275355333639</v>
      </c>
      <c r="G22" s="25" t="s">
        <v>63</v>
      </c>
      <c r="H22" s="25"/>
      <c r="I22" s="133"/>
    </row>
    <row r="23" spans="1:9" x14ac:dyDescent="0.2">
      <c r="A23" s="144" t="s">
        <v>1227</v>
      </c>
      <c r="B23" s="25"/>
      <c r="C23" s="25"/>
      <c r="D23" s="25">
        <f>E173</f>
        <v>3.1271</v>
      </c>
      <c r="E23" s="25" t="s">
        <v>904</v>
      </c>
      <c r="F23" s="25"/>
      <c r="G23" s="25"/>
      <c r="H23" s="25"/>
      <c r="I23" s="133"/>
    </row>
    <row r="24" spans="1:9" ht="14.25" x14ac:dyDescent="0.2">
      <c r="A24" s="144" t="s">
        <v>62</v>
      </c>
      <c r="B24" s="25"/>
      <c r="C24" s="25"/>
      <c r="D24" s="218">
        <f>D22*D22*PI()/4</f>
        <v>6.9999500069359275</v>
      </c>
      <c r="E24" s="25" t="s">
        <v>1107</v>
      </c>
      <c r="F24" s="25">
        <f>E170</f>
        <v>4.3548299999999998</v>
      </c>
      <c r="G24" s="25" t="s">
        <v>63</v>
      </c>
      <c r="H24" s="25"/>
      <c r="I24" s="133"/>
    </row>
    <row r="25" spans="1:9" x14ac:dyDescent="0.2">
      <c r="A25" s="144" t="s">
        <v>1124</v>
      </c>
      <c r="B25" s="25"/>
      <c r="C25" s="25"/>
      <c r="D25" s="25">
        <f>E179</f>
        <v>1.2641630382196425</v>
      </c>
      <c r="E25" t="s">
        <v>975</v>
      </c>
      <c r="F25" s="25"/>
      <c r="G25" s="25"/>
      <c r="H25" s="25"/>
      <c r="I25" s="133"/>
    </row>
    <row r="26" spans="1:9" x14ac:dyDescent="0.2">
      <c r="A26" s="144" t="s">
        <v>66</v>
      </c>
      <c r="B26" s="25"/>
      <c r="C26" s="25"/>
      <c r="D26" s="214">
        <f>10*E180</f>
        <v>390</v>
      </c>
      <c r="E26" s="25" t="s">
        <v>904</v>
      </c>
      <c r="F26" s="212" t="s">
        <v>76</v>
      </c>
      <c r="G26" s="25"/>
      <c r="H26" s="25"/>
      <c r="I26" s="133"/>
    </row>
    <row r="27" spans="1:9" x14ac:dyDescent="0.2">
      <c r="A27" s="144"/>
      <c r="B27" s="25"/>
      <c r="C27" s="25"/>
      <c r="D27" s="25"/>
      <c r="E27" s="25"/>
      <c r="F27" s="25" t="s">
        <v>69</v>
      </c>
      <c r="G27" s="25"/>
      <c r="H27" s="214">
        <f>E197</f>
        <v>62.2</v>
      </c>
      <c r="I27" s="133" t="s">
        <v>904</v>
      </c>
    </row>
    <row r="28" spans="1:9" x14ac:dyDescent="0.2">
      <c r="A28" s="144" t="s">
        <v>102</v>
      </c>
      <c r="B28" s="25"/>
      <c r="C28" s="25"/>
      <c r="D28" s="25">
        <f>E185</f>
        <v>3.9531642368166442</v>
      </c>
      <c r="E28" s="25" t="s">
        <v>904</v>
      </c>
      <c r="F28" s="25" t="s">
        <v>70</v>
      </c>
      <c r="G28" s="25"/>
      <c r="H28" s="214">
        <f>E198</f>
        <v>85</v>
      </c>
      <c r="I28" s="133" t="s">
        <v>904</v>
      </c>
    </row>
    <row r="29" spans="1:9" x14ac:dyDescent="0.2">
      <c r="A29" s="219" t="s">
        <v>67</v>
      </c>
      <c r="B29" s="25"/>
      <c r="C29" s="25"/>
      <c r="D29" s="25">
        <f>E183</f>
        <v>2.1468357631833523</v>
      </c>
      <c r="E29" s="25" t="s">
        <v>904</v>
      </c>
      <c r="F29" s="25" t="s">
        <v>1214</v>
      </c>
      <c r="G29" s="25"/>
      <c r="H29" s="217">
        <f>E199</f>
        <v>640</v>
      </c>
      <c r="I29" s="133" t="s">
        <v>904</v>
      </c>
    </row>
    <row r="30" spans="1:9" x14ac:dyDescent="0.2">
      <c r="A30" s="144" t="s">
        <v>78</v>
      </c>
      <c r="B30" s="25"/>
      <c r="C30" s="25"/>
      <c r="D30" s="214">
        <f>H14</f>
        <v>50</v>
      </c>
      <c r="E30" s="25" t="s">
        <v>904</v>
      </c>
      <c r="F30" s="25" t="s">
        <v>58</v>
      </c>
      <c r="G30" s="25"/>
      <c r="H30" s="216">
        <f>E200</f>
        <v>11.399999999999999</v>
      </c>
      <c r="I30" s="133" t="s">
        <v>904</v>
      </c>
    </row>
    <row r="31" spans="1:9" x14ac:dyDescent="0.2">
      <c r="A31" s="144" t="s">
        <v>68</v>
      </c>
      <c r="B31" s="25"/>
      <c r="C31" s="25"/>
      <c r="D31" s="214">
        <f>E186</f>
        <v>62.199999999999989</v>
      </c>
      <c r="E31" s="25" t="s">
        <v>904</v>
      </c>
      <c r="I31" s="133"/>
    </row>
    <row r="32" spans="1:9" x14ac:dyDescent="0.2">
      <c r="A32" s="144"/>
      <c r="B32" s="25"/>
      <c r="C32" s="25"/>
      <c r="D32" s="25"/>
      <c r="E32" s="25"/>
      <c r="I32" s="133"/>
    </row>
    <row r="33" spans="1:10" ht="14.25" x14ac:dyDescent="0.2">
      <c r="A33" s="144" t="s">
        <v>1126</v>
      </c>
      <c r="B33" s="25"/>
      <c r="C33" s="25"/>
      <c r="D33" s="214">
        <f>E190</f>
        <v>176.24334786638738</v>
      </c>
      <c r="E33" s="25" t="s">
        <v>904</v>
      </c>
      <c r="F33" s="25" t="s">
        <v>97</v>
      </c>
      <c r="G33" s="25"/>
      <c r="H33" s="214">
        <f>D26*(D31-D30)</f>
        <v>4757.9999999999955</v>
      </c>
      <c r="I33" s="133" t="s">
        <v>1107</v>
      </c>
    </row>
    <row r="34" spans="1:10" ht="14.25" x14ac:dyDescent="0.2">
      <c r="A34" s="144" t="s">
        <v>1127</v>
      </c>
      <c r="B34" s="25"/>
      <c r="C34" s="25"/>
      <c r="D34" s="214">
        <f>E191</f>
        <v>36.262068823509217</v>
      </c>
      <c r="E34" s="25" t="s">
        <v>980</v>
      </c>
      <c r="F34" s="25" t="s">
        <v>98</v>
      </c>
      <c r="G34" s="25"/>
      <c r="H34" s="214">
        <f>D21*D24</f>
        <v>1440.2397139270674</v>
      </c>
      <c r="I34" s="133" t="s">
        <v>1107</v>
      </c>
    </row>
    <row r="35" spans="1:10" x14ac:dyDescent="0.2">
      <c r="A35" s="144" t="s">
        <v>93</v>
      </c>
      <c r="B35" s="25"/>
      <c r="C35" s="25"/>
      <c r="D35" s="213">
        <f>E194</f>
        <v>2.4870095743778742</v>
      </c>
      <c r="E35" s="25" t="s">
        <v>874</v>
      </c>
      <c r="F35" t="s">
        <v>99</v>
      </c>
      <c r="H35" s="221">
        <f>H34/H33</f>
        <v>0.30269855273792956</v>
      </c>
      <c r="I35" s="133"/>
    </row>
    <row r="36" spans="1:10" x14ac:dyDescent="0.2">
      <c r="A36" s="141"/>
      <c r="B36" s="142"/>
      <c r="C36" s="142"/>
      <c r="D36" s="142"/>
      <c r="E36" s="142"/>
      <c r="F36" s="142"/>
      <c r="G36" s="142"/>
      <c r="H36" s="142"/>
      <c r="I36" s="135"/>
    </row>
    <row r="37" spans="1:10" x14ac:dyDescent="0.2">
      <c r="A37" s="130"/>
      <c r="B37" s="148"/>
      <c r="C37" s="148"/>
      <c r="D37" s="148"/>
      <c r="E37" s="148"/>
      <c r="F37" s="148"/>
      <c r="G37" s="148"/>
      <c r="H37" s="148"/>
      <c r="I37" s="131"/>
    </row>
    <row r="38" spans="1:10" x14ac:dyDescent="0.2">
      <c r="A38" s="144"/>
      <c r="B38" s="25"/>
      <c r="C38" s="25"/>
      <c r="D38" s="25"/>
      <c r="E38" s="212" t="s">
        <v>71</v>
      </c>
      <c r="F38" s="25"/>
      <c r="G38" s="25"/>
      <c r="H38" s="25"/>
      <c r="I38" s="133"/>
    </row>
    <row r="39" spans="1:10" x14ac:dyDescent="0.2">
      <c r="A39" s="144"/>
      <c r="B39" s="25"/>
      <c r="C39" s="25"/>
      <c r="D39" s="25"/>
      <c r="E39" s="25"/>
      <c r="F39" s="25"/>
      <c r="G39" s="25"/>
      <c r="H39" s="25"/>
      <c r="I39" s="133"/>
    </row>
    <row r="40" spans="1:10" x14ac:dyDescent="0.2">
      <c r="A40" s="211" t="s">
        <v>79</v>
      </c>
      <c r="B40" s="25"/>
      <c r="C40" s="25"/>
      <c r="D40" s="25"/>
      <c r="E40" s="25"/>
      <c r="F40" s="212" t="s">
        <v>90</v>
      </c>
      <c r="G40" s="25"/>
      <c r="H40" s="25"/>
      <c r="I40" s="133"/>
    </row>
    <row r="41" spans="1:10" x14ac:dyDescent="0.2">
      <c r="A41" s="144" t="s">
        <v>952</v>
      </c>
      <c r="B41" s="25"/>
      <c r="C41" s="25"/>
      <c r="D41" s="129">
        <f>E231</f>
        <v>41602.490925377599</v>
      </c>
      <c r="E41" s="25" t="s">
        <v>913</v>
      </c>
      <c r="F41" s="25" t="s">
        <v>1124</v>
      </c>
      <c r="G41" s="25"/>
      <c r="H41" s="128">
        <f>E246</f>
        <v>72.33512532820825</v>
      </c>
      <c r="I41" s="133" t="s">
        <v>975</v>
      </c>
      <c r="J41" s="33"/>
    </row>
    <row r="42" spans="1:10" x14ac:dyDescent="0.2">
      <c r="A42" s="144" t="s">
        <v>60</v>
      </c>
      <c r="B42" s="25"/>
      <c r="C42" s="25"/>
      <c r="D42" s="79">
        <f>E236</f>
        <v>0.45</v>
      </c>
      <c r="E42" s="25" t="s">
        <v>904</v>
      </c>
      <c r="F42" s="25" t="s">
        <v>81</v>
      </c>
      <c r="G42" s="25"/>
      <c r="H42" s="129">
        <f>E241</f>
        <v>575.13539565478618</v>
      </c>
      <c r="I42" s="133" t="s">
        <v>913</v>
      </c>
      <c r="J42" s="33"/>
    </row>
    <row r="43" spans="1:10" x14ac:dyDescent="0.2">
      <c r="A43" s="144" t="s">
        <v>1227</v>
      </c>
      <c r="B43" s="25"/>
      <c r="C43" s="25"/>
      <c r="D43" s="79">
        <f>E237</f>
        <v>0.53</v>
      </c>
      <c r="E43" s="25" t="s">
        <v>904</v>
      </c>
      <c r="F43" s="25" t="s">
        <v>82</v>
      </c>
      <c r="G43" s="25"/>
      <c r="H43" s="129">
        <f>E242</f>
        <v>575.13539565478618</v>
      </c>
      <c r="I43" s="133" t="s">
        <v>913</v>
      </c>
    </row>
    <row r="44" spans="1:10" ht="14.25" x14ac:dyDescent="0.2">
      <c r="A44" s="144" t="s">
        <v>89</v>
      </c>
      <c r="B44" s="25"/>
      <c r="C44" s="25"/>
      <c r="D44" s="218">
        <f>D42*D42*PI()/4</f>
        <v>0.15904312808798329</v>
      </c>
      <c r="E44" s="25" t="s">
        <v>1107</v>
      </c>
      <c r="F44" s="25" t="s">
        <v>80</v>
      </c>
      <c r="G44" s="25"/>
      <c r="H44" s="129">
        <f>E243</f>
        <v>575.13539565478618</v>
      </c>
      <c r="I44" s="133" t="s">
        <v>913</v>
      </c>
    </row>
    <row r="45" spans="1:10" x14ac:dyDescent="0.2">
      <c r="A45" s="144"/>
      <c r="B45" s="25"/>
      <c r="C45" s="25"/>
      <c r="D45" s="25"/>
      <c r="E45" s="25"/>
      <c r="F45" s="25" t="s">
        <v>83</v>
      </c>
      <c r="G45" s="25"/>
      <c r="H45" s="79">
        <f>E244</f>
        <v>0</v>
      </c>
      <c r="I45" s="133" t="s">
        <v>913</v>
      </c>
    </row>
    <row r="46" spans="1:10" x14ac:dyDescent="0.2">
      <c r="A46" s="219" t="s">
        <v>101</v>
      </c>
      <c r="B46" s="25"/>
      <c r="C46" s="25"/>
      <c r="D46" s="214">
        <f>E240</f>
        <v>7.1335125328208253</v>
      </c>
      <c r="E46" s="25" t="s">
        <v>904</v>
      </c>
      <c r="F46" s="25"/>
      <c r="G46" s="25"/>
      <c r="H46" s="25"/>
      <c r="I46" s="133"/>
    </row>
    <row r="47" spans="1:10" x14ac:dyDescent="0.2">
      <c r="A47" s="144" t="s">
        <v>102</v>
      </c>
      <c r="B47" s="25"/>
      <c r="C47" s="25"/>
      <c r="D47" s="214">
        <f>H41*D43</f>
        <v>38.337616423950372</v>
      </c>
      <c r="E47" s="25" t="s">
        <v>904</v>
      </c>
      <c r="F47" s="25" t="s">
        <v>85</v>
      </c>
      <c r="G47" s="25"/>
      <c r="H47" s="128">
        <f>E233</f>
        <v>304.82175969703667</v>
      </c>
      <c r="I47" s="133" t="s">
        <v>904</v>
      </c>
    </row>
    <row r="48" spans="1:10" x14ac:dyDescent="0.2">
      <c r="A48" s="144" t="s">
        <v>103</v>
      </c>
      <c r="B48" s="25"/>
      <c r="C48" s="25"/>
      <c r="D48" s="214">
        <f>(D50-D49)/2</f>
        <v>45.471128956771196</v>
      </c>
      <c r="E48" s="25" t="s">
        <v>904</v>
      </c>
      <c r="F48" s="25" t="s">
        <v>86</v>
      </c>
      <c r="G48" s="25"/>
      <c r="H48" s="128">
        <f>E235</f>
        <v>304.82175969703667</v>
      </c>
      <c r="I48" s="133" t="s">
        <v>904</v>
      </c>
    </row>
    <row r="49" spans="1:11" x14ac:dyDescent="0.2">
      <c r="A49" s="144" t="s">
        <v>78</v>
      </c>
      <c r="B49" s="25"/>
      <c r="C49" s="25"/>
      <c r="D49" s="128">
        <f>E232</f>
        <v>85</v>
      </c>
      <c r="E49" s="25" t="s">
        <v>904</v>
      </c>
      <c r="F49" s="25" t="s">
        <v>84</v>
      </c>
      <c r="G49" s="25"/>
      <c r="H49" s="128">
        <f>E234</f>
        <v>304.82175969703667</v>
      </c>
      <c r="I49" s="133" t="s">
        <v>904</v>
      </c>
    </row>
    <row r="50" spans="1:11" x14ac:dyDescent="0.2">
      <c r="A50" s="144" t="s">
        <v>68</v>
      </c>
      <c r="B50" s="25"/>
      <c r="C50" s="25"/>
      <c r="D50" s="128">
        <f>E247</f>
        <v>175.94225791354239</v>
      </c>
      <c r="E50" s="25" t="s">
        <v>904</v>
      </c>
      <c r="F50" s="25" t="s">
        <v>88</v>
      </c>
      <c r="G50" s="25"/>
      <c r="H50" s="222">
        <f>2*E248</f>
        <v>0</v>
      </c>
      <c r="I50" s="133" t="s">
        <v>904</v>
      </c>
      <c r="K50" s="30"/>
    </row>
    <row r="51" spans="1:11" x14ac:dyDescent="0.2">
      <c r="A51" s="144"/>
      <c r="B51" s="25"/>
      <c r="C51" s="25"/>
      <c r="D51" s="25"/>
      <c r="E51" s="25"/>
      <c r="F51" s="25"/>
      <c r="G51" s="25"/>
      <c r="H51" s="25"/>
      <c r="I51" s="133"/>
      <c r="K51" s="30"/>
    </row>
    <row r="52" spans="1:11" x14ac:dyDescent="0.2">
      <c r="A52" s="144"/>
      <c r="B52" s="25"/>
      <c r="C52" s="25"/>
      <c r="D52" s="25"/>
      <c r="E52" s="25"/>
      <c r="F52" s="25" t="s">
        <v>87</v>
      </c>
      <c r="G52" s="25"/>
      <c r="H52" s="79">
        <f>E238</f>
        <v>0.1</v>
      </c>
      <c r="I52" s="133" t="s">
        <v>104</v>
      </c>
    </row>
    <row r="53" spans="1:11" x14ac:dyDescent="0.2">
      <c r="A53" s="144"/>
      <c r="B53" s="25"/>
      <c r="C53" s="25"/>
      <c r="D53" s="25"/>
      <c r="E53" s="25"/>
      <c r="F53" s="25" t="s">
        <v>91</v>
      </c>
      <c r="G53" s="25"/>
      <c r="H53" s="79">
        <f>E239</f>
        <v>0</v>
      </c>
      <c r="I53" s="133" t="s">
        <v>104</v>
      </c>
    </row>
    <row r="54" spans="1:11" x14ac:dyDescent="0.2">
      <c r="A54" s="144"/>
      <c r="B54" s="25"/>
      <c r="C54" s="25"/>
      <c r="D54" s="25"/>
      <c r="E54" s="25"/>
      <c r="F54" s="25"/>
      <c r="G54" s="25"/>
      <c r="H54" s="25"/>
      <c r="I54" s="133"/>
    </row>
    <row r="55" spans="1:11" x14ac:dyDescent="0.2">
      <c r="A55" s="144" t="s">
        <v>1126</v>
      </c>
      <c r="B55" s="25"/>
      <c r="C55" s="25"/>
      <c r="D55" s="128">
        <f>E250</f>
        <v>409.88714023615893</v>
      </c>
      <c r="E55" s="25" t="s">
        <v>904</v>
      </c>
      <c r="F55" s="25" t="s">
        <v>97</v>
      </c>
      <c r="G55" s="25"/>
      <c r="H55" s="217">
        <f>H48*(D50-D49)</f>
        <v>27721.179088027751</v>
      </c>
      <c r="I55" s="133" t="s">
        <v>100</v>
      </c>
    </row>
    <row r="56" spans="1:11" x14ac:dyDescent="0.2">
      <c r="A56" s="144" t="s">
        <v>1127</v>
      </c>
      <c r="B56" s="25"/>
      <c r="C56" s="25"/>
      <c r="D56" s="129">
        <f>E251</f>
        <v>17052.326032103778</v>
      </c>
      <c r="E56" s="25" t="s">
        <v>980</v>
      </c>
      <c r="F56" s="25" t="s">
        <v>98</v>
      </c>
      <c r="G56" s="25"/>
      <c r="H56" s="217">
        <f>D44*D41</f>
        <v>6616.5902930239918</v>
      </c>
      <c r="I56" s="133" t="s">
        <v>100</v>
      </c>
    </row>
    <row r="57" spans="1:11" x14ac:dyDescent="0.2">
      <c r="A57" s="144" t="s">
        <v>1128</v>
      </c>
      <c r="B57" s="25"/>
      <c r="C57" s="25"/>
      <c r="D57" s="223">
        <f>E252</f>
        <v>24.218653590764866</v>
      </c>
      <c r="E57" s="25" t="s">
        <v>874</v>
      </c>
      <c r="F57" s="25" t="s">
        <v>99</v>
      </c>
      <c r="G57" s="25"/>
      <c r="H57" s="224">
        <f>H56/H55</f>
        <v>0.2386835809549519</v>
      </c>
      <c r="I57" s="133"/>
    </row>
    <row r="58" spans="1:11" x14ac:dyDescent="0.2">
      <c r="A58" s="141"/>
      <c r="B58" s="142"/>
      <c r="C58" s="142"/>
      <c r="D58" s="142"/>
      <c r="E58" s="142"/>
      <c r="F58" s="142"/>
      <c r="G58" s="142"/>
      <c r="H58" s="142"/>
      <c r="I58" s="135"/>
      <c r="K58" s="18"/>
    </row>
    <row r="60" spans="1:11" ht="20.25" x14ac:dyDescent="0.3">
      <c r="E60" s="210" t="s">
        <v>105</v>
      </c>
    </row>
    <row r="62" spans="1:11" x14ac:dyDescent="0.2">
      <c r="C62" t="s">
        <v>1021</v>
      </c>
      <c r="D62" s="286" t="str">
        <f>D3</f>
        <v>Kurt's big Induction Coil</v>
      </c>
    </row>
    <row r="64" spans="1:11" x14ac:dyDescent="0.2">
      <c r="A64" s="227" t="s">
        <v>111</v>
      </c>
      <c r="B64" s="148"/>
      <c r="C64" s="148"/>
      <c r="D64" s="148"/>
      <c r="E64" s="228"/>
      <c r="F64" s="228" t="s">
        <v>110</v>
      </c>
      <c r="G64" s="148"/>
      <c r="H64" s="148"/>
      <c r="I64" s="131"/>
    </row>
    <row r="65" spans="1:12" x14ac:dyDescent="0.2">
      <c r="A65" s="144"/>
      <c r="B65" s="25"/>
      <c r="C65" s="25"/>
      <c r="D65" s="25"/>
      <c r="E65" s="25"/>
      <c r="F65" s="25"/>
      <c r="G65" s="25"/>
      <c r="H65" s="25"/>
      <c r="I65" s="133"/>
    </row>
    <row r="66" spans="1:12" x14ac:dyDescent="0.2">
      <c r="A66" s="144" t="s">
        <v>121</v>
      </c>
      <c r="B66" s="25"/>
      <c r="C66" s="25"/>
      <c r="D66" s="216">
        <f>E130</f>
        <v>20.323804590797806</v>
      </c>
      <c r="E66" s="25" t="s">
        <v>834</v>
      </c>
      <c r="F66" s="25"/>
      <c r="G66" s="25"/>
      <c r="H66" s="25"/>
      <c r="I66" s="133"/>
    </row>
    <row r="67" spans="1:12" x14ac:dyDescent="0.2">
      <c r="A67" s="144" t="s">
        <v>145</v>
      </c>
      <c r="B67" s="25"/>
      <c r="C67" s="25"/>
      <c r="D67" s="217">
        <f>E131</f>
        <v>122360.77082865853</v>
      </c>
      <c r="E67" s="25" t="s">
        <v>837</v>
      </c>
      <c r="F67" s="25"/>
      <c r="G67" s="25"/>
      <c r="H67" s="25"/>
      <c r="I67" s="133"/>
    </row>
    <row r="68" spans="1:12" x14ac:dyDescent="0.2">
      <c r="A68" s="144" t="s">
        <v>123</v>
      </c>
      <c r="B68" s="25"/>
      <c r="C68" s="25"/>
      <c r="D68" s="214">
        <f>E132</f>
        <v>3.2143202177918018</v>
      </c>
      <c r="E68" s="25" t="s">
        <v>840</v>
      </c>
      <c r="F68" s="25" t="s">
        <v>107</v>
      </c>
      <c r="G68" s="25"/>
      <c r="H68" s="129">
        <f>E220</f>
        <v>9300.0186000371996</v>
      </c>
      <c r="I68" s="229" t="s">
        <v>931</v>
      </c>
    </row>
    <row r="69" spans="1:12" x14ac:dyDescent="0.2">
      <c r="A69" s="144" t="s">
        <v>108</v>
      </c>
      <c r="B69" s="25"/>
      <c r="C69" s="25"/>
      <c r="D69" s="217">
        <f>E133</f>
        <v>393.30669953914639</v>
      </c>
      <c r="E69" s="25" t="s">
        <v>843</v>
      </c>
      <c r="F69" s="25" t="s">
        <v>106</v>
      </c>
      <c r="G69" s="25"/>
      <c r="H69" s="129">
        <f>E221</f>
        <v>119077.35076175044</v>
      </c>
      <c r="I69" s="229" t="s">
        <v>933</v>
      </c>
    </row>
    <row r="70" spans="1:12" x14ac:dyDescent="0.2">
      <c r="A70" s="144" t="s">
        <v>109</v>
      </c>
      <c r="B70" s="25"/>
      <c r="C70" s="25"/>
      <c r="D70" s="217">
        <f>E137</f>
        <v>655.51116589857736</v>
      </c>
      <c r="E70" s="25" t="s">
        <v>843</v>
      </c>
      <c r="F70" s="25"/>
      <c r="G70" s="25"/>
      <c r="H70" s="25"/>
      <c r="I70" s="133"/>
    </row>
    <row r="71" spans="1:12" x14ac:dyDescent="0.2">
      <c r="A71" s="144" t="s">
        <v>124</v>
      </c>
      <c r="B71" s="25"/>
      <c r="C71" s="25"/>
      <c r="D71" s="224">
        <f>E136</f>
        <v>0.6</v>
      </c>
      <c r="E71" s="25"/>
      <c r="F71" s="25"/>
      <c r="G71" s="25"/>
      <c r="H71" s="25"/>
      <c r="I71" s="133"/>
    </row>
    <row r="72" spans="1:12" x14ac:dyDescent="0.2">
      <c r="A72" s="141"/>
      <c r="B72" s="142"/>
      <c r="C72" s="142"/>
      <c r="D72" s="142"/>
      <c r="E72" s="142"/>
      <c r="F72" s="142"/>
      <c r="G72" s="142"/>
      <c r="H72" s="142"/>
      <c r="I72" s="135"/>
    </row>
    <row r="73" spans="1:12" x14ac:dyDescent="0.2">
      <c r="A73" s="130"/>
      <c r="B73" s="148"/>
      <c r="C73" s="148"/>
      <c r="D73" s="148"/>
      <c r="E73" s="148"/>
      <c r="F73" s="148"/>
      <c r="G73" s="148"/>
      <c r="H73" s="148"/>
      <c r="I73" s="131"/>
    </row>
    <row r="74" spans="1:12" x14ac:dyDescent="0.2">
      <c r="A74" s="211" t="s">
        <v>1088</v>
      </c>
      <c r="B74" s="25"/>
      <c r="C74" s="25"/>
      <c r="D74" s="25"/>
      <c r="E74" s="25"/>
      <c r="F74" s="212" t="s">
        <v>71</v>
      </c>
      <c r="G74" s="25"/>
      <c r="H74" s="25"/>
      <c r="I74" s="230"/>
    </row>
    <row r="75" spans="1:12" x14ac:dyDescent="0.2">
      <c r="A75" s="144"/>
      <c r="B75" s="25"/>
      <c r="C75" s="25"/>
      <c r="D75" s="25"/>
      <c r="E75" s="25"/>
      <c r="F75" s="25"/>
      <c r="G75" s="25"/>
      <c r="H75" s="25"/>
      <c r="I75" s="230"/>
    </row>
    <row r="76" spans="1:12" x14ac:dyDescent="0.2">
      <c r="A76" s="144" t="s">
        <v>125</v>
      </c>
      <c r="B76" s="25"/>
      <c r="C76" s="25"/>
      <c r="D76" s="25">
        <f>E161</f>
        <v>22.235440787472154</v>
      </c>
      <c r="E76" s="25" t="s">
        <v>837</v>
      </c>
      <c r="F76" s="25" t="s">
        <v>136</v>
      </c>
      <c r="G76" s="25"/>
      <c r="H76" s="231">
        <f>E218</f>
        <v>202.2</v>
      </c>
      <c r="I76" s="133"/>
      <c r="J76" s="33" t="s">
        <v>138</v>
      </c>
      <c r="K76">
        <f>D41/D21</f>
        <v>202.19922685481208</v>
      </c>
      <c r="L76" t="s">
        <v>139</v>
      </c>
    </row>
    <row r="77" spans="1:12" ht="15.75" x14ac:dyDescent="0.3">
      <c r="A77" s="144" t="s">
        <v>126</v>
      </c>
      <c r="B77" s="25"/>
      <c r="C77" s="25"/>
      <c r="D77" s="25">
        <f>E162</f>
        <v>50</v>
      </c>
      <c r="E77" s="25" t="s">
        <v>893</v>
      </c>
      <c r="F77" s="25" t="s">
        <v>142</v>
      </c>
      <c r="G77" s="25"/>
      <c r="H77" s="128">
        <f t="shared" ref="H77:H83" si="0">M245</f>
        <v>65.669374634673289</v>
      </c>
      <c r="I77" s="133" t="s">
        <v>898</v>
      </c>
    </row>
    <row r="78" spans="1:12" x14ac:dyDescent="0.2">
      <c r="A78" s="144" t="s">
        <v>146</v>
      </c>
      <c r="B78" s="25"/>
      <c r="C78" s="25"/>
      <c r="D78" s="25">
        <f>E163</f>
        <v>13.5</v>
      </c>
      <c r="E78" s="25" t="s">
        <v>895</v>
      </c>
      <c r="F78" s="25" t="s">
        <v>144</v>
      </c>
      <c r="G78" s="25"/>
      <c r="H78" s="128">
        <f t="shared" si="0"/>
        <v>30</v>
      </c>
      <c r="I78" s="133"/>
    </row>
    <row r="79" spans="1:12" ht="15.75" x14ac:dyDescent="0.3">
      <c r="A79" s="144" t="s">
        <v>128</v>
      </c>
      <c r="B79" s="25"/>
      <c r="C79" s="25"/>
      <c r="D79" s="216">
        <f>E169</f>
        <v>3.1000062000124</v>
      </c>
      <c r="E79" s="25" t="s">
        <v>120</v>
      </c>
      <c r="F79" s="25" t="s">
        <v>1120</v>
      </c>
      <c r="G79" s="25"/>
      <c r="H79" s="128">
        <f t="shared" si="0"/>
        <v>1970.0812390401986</v>
      </c>
      <c r="I79" s="133" t="s">
        <v>898</v>
      </c>
    </row>
    <row r="80" spans="1:12" x14ac:dyDescent="0.2">
      <c r="A80" s="144" t="s">
        <v>119</v>
      </c>
      <c r="B80" s="25"/>
      <c r="C80" s="25"/>
      <c r="D80" s="218">
        <f>E192</f>
        <v>9.2520739226159832E-2</v>
      </c>
      <c r="E80" s="25" t="s">
        <v>965</v>
      </c>
      <c r="F80" s="25" t="s">
        <v>134</v>
      </c>
      <c r="G80" s="25"/>
      <c r="H80" s="129">
        <f t="shared" si="0"/>
        <v>1914.9179634148841</v>
      </c>
      <c r="I80" s="133" t="s">
        <v>965</v>
      </c>
    </row>
    <row r="81" spans="1:12" x14ac:dyDescent="0.2">
      <c r="A81" s="144" t="s">
        <v>114</v>
      </c>
      <c r="B81" s="25"/>
      <c r="C81" s="25" t="str">
        <f>CONCATENATE(TEXT(C193,"###0")," turns")</f>
        <v>206 turns</v>
      </c>
      <c r="D81" s="214">
        <f>1000*E193</f>
        <v>11.65072387258771</v>
      </c>
      <c r="E81" s="25" t="s">
        <v>995</v>
      </c>
      <c r="F81" s="25" t="s">
        <v>133</v>
      </c>
      <c r="G81" s="25"/>
      <c r="H81" s="128">
        <f t="shared" si="0"/>
        <v>1</v>
      </c>
      <c r="I81" s="133" t="s">
        <v>120</v>
      </c>
      <c r="J81" s="355" t="s">
        <v>407</v>
      </c>
      <c r="K81" s="355"/>
      <c r="L81" s="355"/>
    </row>
    <row r="82" spans="1:12" x14ac:dyDescent="0.2">
      <c r="A82" s="144" t="s">
        <v>129</v>
      </c>
      <c r="B82" s="25"/>
      <c r="C82" s="25"/>
      <c r="D82" s="214">
        <f>D81/D80</f>
        <v>125.92553810133759</v>
      </c>
      <c r="E82" s="25" t="s">
        <v>130</v>
      </c>
      <c r="F82" s="25" t="s">
        <v>137</v>
      </c>
      <c r="G82" s="25"/>
      <c r="H82" s="128">
        <f t="shared" si="0"/>
        <v>159.04312808798329</v>
      </c>
      <c r="I82" s="133" t="s">
        <v>840</v>
      </c>
      <c r="J82" t="s">
        <v>408</v>
      </c>
    </row>
    <row r="83" spans="1:12" x14ac:dyDescent="0.2">
      <c r="A83" s="144" t="s">
        <v>135</v>
      </c>
      <c r="B83" s="25"/>
      <c r="C83" s="25"/>
      <c r="D83" s="25">
        <f>E226</f>
        <v>605.14723456309855</v>
      </c>
      <c r="E83" s="25" t="s">
        <v>837</v>
      </c>
      <c r="F83" s="25" t="s">
        <v>132</v>
      </c>
      <c r="G83" s="25"/>
      <c r="H83" s="128">
        <f t="shared" si="0"/>
        <v>48.437307181529732</v>
      </c>
      <c r="I83" s="133" t="s">
        <v>971</v>
      </c>
    </row>
    <row r="84" spans="1:12" x14ac:dyDescent="0.2">
      <c r="A84" s="141"/>
      <c r="B84" s="142"/>
      <c r="C84" s="142"/>
      <c r="D84" s="232"/>
      <c r="E84" s="142"/>
      <c r="F84" s="142"/>
      <c r="G84" s="142"/>
      <c r="H84" s="142"/>
      <c r="I84" s="135"/>
    </row>
    <row r="86" spans="1:12" ht="20.25" x14ac:dyDescent="0.3">
      <c r="A86" s="46" t="s">
        <v>466</v>
      </c>
    </row>
    <row r="88" spans="1:12" x14ac:dyDescent="0.2">
      <c r="C88" s="2" t="s">
        <v>410</v>
      </c>
      <c r="D88" s="2" t="s">
        <v>413</v>
      </c>
      <c r="E88" s="2" t="s">
        <v>857</v>
      </c>
      <c r="F88" s="2" t="s">
        <v>414</v>
      </c>
      <c r="H88" t="s">
        <v>420</v>
      </c>
    </row>
    <row r="89" spans="1:12" x14ac:dyDescent="0.2">
      <c r="A89" s="3" t="s">
        <v>409</v>
      </c>
      <c r="B89" s="2" t="s">
        <v>411</v>
      </c>
      <c r="C89" s="287">
        <v>0</v>
      </c>
      <c r="D89" s="288">
        <f>D13/20</f>
        <v>21.179383788238983</v>
      </c>
      <c r="E89" s="290">
        <f>D12/20</f>
        <v>2.1280238071741913</v>
      </c>
      <c r="F89" s="288">
        <f>D89</f>
        <v>21.179383788238983</v>
      </c>
      <c r="G89" t="s">
        <v>421</v>
      </c>
      <c r="H89" s="53">
        <v>0.35</v>
      </c>
      <c r="I89" t="s">
        <v>904</v>
      </c>
    </row>
    <row r="90" spans="1:12" x14ac:dyDescent="0.2">
      <c r="A90" t="s">
        <v>416</v>
      </c>
      <c r="B90" t="s">
        <v>412</v>
      </c>
      <c r="C90" s="287">
        <v>0</v>
      </c>
      <c r="D90" s="288">
        <f>-D89</f>
        <v>-21.179383788238983</v>
      </c>
      <c r="E90" s="290">
        <f>E89</f>
        <v>2.1280238071741913</v>
      </c>
      <c r="F90" s="288">
        <f>-F89</f>
        <v>-21.179383788238983</v>
      </c>
      <c r="G90" t="s">
        <v>422</v>
      </c>
      <c r="H90" s="291">
        <v>0.9</v>
      </c>
      <c r="I90" s="30" t="s">
        <v>423</v>
      </c>
    </row>
    <row r="92" spans="1:12" x14ac:dyDescent="0.2">
      <c r="C92" s="2" t="s">
        <v>410</v>
      </c>
      <c r="D92" s="2" t="s">
        <v>413</v>
      </c>
      <c r="E92" s="2" t="s">
        <v>857</v>
      </c>
      <c r="F92" s="2" t="s">
        <v>414</v>
      </c>
      <c r="H92" t="s">
        <v>415</v>
      </c>
    </row>
    <row r="93" spans="1:12" ht="15.75" x14ac:dyDescent="0.3">
      <c r="A93" s="3" t="s">
        <v>1088</v>
      </c>
      <c r="B93" s="2" t="s">
        <v>411</v>
      </c>
      <c r="C93" s="290">
        <f>H14/20</f>
        <v>2.5</v>
      </c>
      <c r="D93" s="292">
        <f>D26/20</f>
        <v>19.5</v>
      </c>
      <c r="E93" s="290">
        <f>D31/20</f>
        <v>3.1099999999999994</v>
      </c>
      <c r="F93" s="288">
        <f>D93</f>
        <v>19.5</v>
      </c>
      <c r="G93" t="s">
        <v>834</v>
      </c>
      <c r="H93" t="s">
        <v>457</v>
      </c>
    </row>
    <row r="94" spans="1:12" ht="14.25" x14ac:dyDescent="0.2">
      <c r="A94" t="s">
        <v>417</v>
      </c>
      <c r="B94" t="s">
        <v>412</v>
      </c>
      <c r="C94" s="290">
        <f>C93</f>
        <v>2.5</v>
      </c>
      <c r="D94" s="292">
        <f>-D93</f>
        <v>-19.5</v>
      </c>
      <c r="E94" s="290">
        <f>E93</f>
        <v>3.1099999999999994</v>
      </c>
      <c r="F94" s="288">
        <f>-F93</f>
        <v>-19.5</v>
      </c>
      <c r="G94" t="s">
        <v>834</v>
      </c>
      <c r="H94" s="58">
        <f>D21*D78/((E93-C93)*2*F93*100)</f>
        <v>1.1675598991172778</v>
      </c>
      <c r="I94" t="s">
        <v>432</v>
      </c>
      <c r="J94" t="s">
        <v>419</v>
      </c>
    </row>
    <row r="96" spans="1:12" ht="15.75" x14ac:dyDescent="0.3">
      <c r="C96" s="2" t="s">
        <v>410</v>
      </c>
      <c r="D96" s="2" t="s">
        <v>413</v>
      </c>
      <c r="E96" s="2" t="s">
        <v>857</v>
      </c>
      <c r="F96" s="2" t="s">
        <v>414</v>
      </c>
      <c r="H96" t="s">
        <v>415</v>
      </c>
      <c r="J96" s="2" t="s">
        <v>424</v>
      </c>
    </row>
    <row r="97" spans="1:10" ht="15.75" x14ac:dyDescent="0.3">
      <c r="A97" s="3" t="s">
        <v>418</v>
      </c>
      <c r="B97" s="2" t="s">
        <v>411</v>
      </c>
      <c r="C97" s="290">
        <f>D49/20</f>
        <v>4.25</v>
      </c>
      <c r="D97" s="288">
        <f>H47/20</f>
        <v>15.241087984851834</v>
      </c>
      <c r="E97" s="290">
        <f>D50/20</f>
        <v>8.7971128956771203</v>
      </c>
      <c r="F97" s="288">
        <f>H49/20</f>
        <v>15.241087984851834</v>
      </c>
      <c r="G97" t="s">
        <v>834</v>
      </c>
      <c r="H97" t="s">
        <v>456</v>
      </c>
      <c r="J97" s="289">
        <f>D41*D68*0.001</f>
        <v>133.72372769194118</v>
      </c>
    </row>
    <row r="98" spans="1:10" ht="15.75" x14ac:dyDescent="0.3">
      <c r="A98" t="s">
        <v>417</v>
      </c>
      <c r="B98" t="s">
        <v>412</v>
      </c>
      <c r="C98" s="290">
        <f>C97</f>
        <v>4.25</v>
      </c>
      <c r="D98" s="288">
        <f>-D97</f>
        <v>-15.241087984851834</v>
      </c>
      <c r="E98" s="290">
        <f>E97</f>
        <v>8.7971128956771203</v>
      </c>
      <c r="F98" s="288">
        <f>-F97</f>
        <v>-15.241087984851834</v>
      </c>
      <c r="G98" t="s">
        <v>834</v>
      </c>
      <c r="H98">
        <f>G103/H55</f>
        <v>0.10019866006347487</v>
      </c>
      <c r="I98" t="s">
        <v>432</v>
      </c>
      <c r="J98" t="s">
        <v>433</v>
      </c>
    </row>
    <row r="99" spans="1:10" ht="14.25" x14ac:dyDescent="0.2">
      <c r="H99">
        <f>D41*0.001*D68/((E97-C97)*(D97+F97)*100)</f>
        <v>9.6477662272088476E-3</v>
      </c>
      <c r="I99" t="s">
        <v>432</v>
      </c>
      <c r="J99" t="s">
        <v>425</v>
      </c>
    </row>
    <row r="101" spans="1:10" ht="20.25" x14ac:dyDescent="0.3">
      <c r="B101" s="46" t="s">
        <v>465</v>
      </c>
    </row>
    <row r="103" spans="1:10" ht="15.75" x14ac:dyDescent="0.3">
      <c r="F103" s="33" t="s">
        <v>460</v>
      </c>
      <c r="G103" s="260">
        <f>D21*D78</f>
        <v>2777.6250000000009</v>
      </c>
      <c r="H103" t="s">
        <v>895</v>
      </c>
    </row>
    <row r="104" spans="1:10" ht="15.75" x14ac:dyDescent="0.3">
      <c r="B104" t="s">
        <v>458</v>
      </c>
      <c r="C104" s="28">
        <v>0.895910653821683</v>
      </c>
      <c r="D104" t="s">
        <v>459</v>
      </c>
      <c r="F104" s="33" t="s">
        <v>455</v>
      </c>
      <c r="G104" s="10">
        <f>D78</f>
        <v>13.5</v>
      </c>
      <c r="H104" t="s">
        <v>895</v>
      </c>
    </row>
    <row r="105" spans="1:10" ht="15.75" x14ac:dyDescent="0.3">
      <c r="A105" t="s">
        <v>440</v>
      </c>
      <c r="C105" s="293">
        <v>0.72393450000000004</v>
      </c>
      <c r="D105" t="s">
        <v>428</v>
      </c>
      <c r="F105" t="s">
        <v>438</v>
      </c>
      <c r="G105" s="10">
        <f>1000*C105/(D78*D78)</f>
        <v>3.9722057613168729</v>
      </c>
      <c r="H105" t="s">
        <v>995</v>
      </c>
      <c r="J105" t="s">
        <v>451</v>
      </c>
    </row>
    <row r="106" spans="1:10" ht="15.75" x14ac:dyDescent="0.3">
      <c r="A106" t="s">
        <v>450</v>
      </c>
      <c r="C106" s="293">
        <v>0.3542573</v>
      </c>
      <c r="D106" t="s">
        <v>427</v>
      </c>
      <c r="F106" t="s">
        <v>445</v>
      </c>
      <c r="G106" s="10">
        <f>2000*C106/(D78*D78)</f>
        <v>3.8875972565157748</v>
      </c>
      <c r="H106" t="s">
        <v>995</v>
      </c>
      <c r="J106" t="s">
        <v>452</v>
      </c>
    </row>
    <row r="107" spans="1:10" ht="15.75" x14ac:dyDescent="0.3">
      <c r="A107" t="s">
        <v>429</v>
      </c>
      <c r="C107" s="293">
        <v>1.2450130000000001E-6</v>
      </c>
      <c r="D107" t="s">
        <v>439</v>
      </c>
      <c r="F107" s="33" t="s">
        <v>463</v>
      </c>
      <c r="G107" s="29">
        <f>1000*(D41/(D78*(0.000001*H55)))*C107</f>
        <v>138.40371697728719</v>
      </c>
      <c r="H107" t="s">
        <v>995</v>
      </c>
      <c r="J107" t="s">
        <v>448</v>
      </c>
    </row>
    <row r="108" spans="1:10" ht="15.75" x14ac:dyDescent="0.3">
      <c r="A108" t="s">
        <v>431</v>
      </c>
      <c r="C108" s="293">
        <v>3.382768E-3</v>
      </c>
      <c r="D108" t="s">
        <v>430</v>
      </c>
      <c r="F108" s="33" t="s">
        <v>462</v>
      </c>
      <c r="G108" s="10">
        <f>0.001*G107/SQRT(0.001*G105*G113)</f>
        <v>0.16007977892247019</v>
      </c>
      <c r="H108" t="s">
        <v>423</v>
      </c>
    </row>
    <row r="109" spans="1:10" x14ac:dyDescent="0.2">
      <c r="C109" s="294"/>
    </row>
    <row r="111" spans="1:10" ht="15.75" x14ac:dyDescent="0.3">
      <c r="C111" s="31"/>
      <c r="F111" s="33" t="s">
        <v>461</v>
      </c>
      <c r="G111" s="260">
        <f>G103</f>
        <v>2777.6250000000009</v>
      </c>
      <c r="H111" t="s">
        <v>895</v>
      </c>
    </row>
    <row r="112" spans="1:10" ht="15.75" x14ac:dyDescent="0.3">
      <c r="B112" t="s">
        <v>458</v>
      </c>
      <c r="C112" s="28">
        <v>0.98411108819553805</v>
      </c>
      <c r="D112" t="s">
        <v>459</v>
      </c>
      <c r="F112" s="33" t="s">
        <v>443</v>
      </c>
      <c r="G112" s="10">
        <f>G103/D41</f>
        <v>6.6765833925238466E-2</v>
      </c>
      <c r="H112" t="s">
        <v>895</v>
      </c>
      <c r="J112" t="s">
        <v>433</v>
      </c>
    </row>
    <row r="113" spans="1:15" ht="15.75" x14ac:dyDescent="0.3">
      <c r="A113" t="s">
        <v>441</v>
      </c>
      <c r="C113" s="293">
        <v>0.83887909999999999</v>
      </c>
      <c r="D113" t="s">
        <v>428</v>
      </c>
      <c r="F113" t="s">
        <v>442</v>
      </c>
      <c r="G113" s="10">
        <f>C113/(G112*G112)</f>
        <v>188.1875198873974</v>
      </c>
      <c r="H113" t="s">
        <v>898</v>
      </c>
      <c r="J113" t="s">
        <v>453</v>
      </c>
    </row>
    <row r="114" spans="1:15" ht="15.75" x14ac:dyDescent="0.3">
      <c r="A114" t="s">
        <v>450</v>
      </c>
      <c r="C114" s="293">
        <v>0.40994510000000001</v>
      </c>
      <c r="D114" t="s">
        <v>427</v>
      </c>
      <c r="F114" t="s">
        <v>444</v>
      </c>
      <c r="G114" s="10">
        <f>2*C114/(G112*G112)</f>
        <v>183.92769985327115</v>
      </c>
      <c r="H114" t="s">
        <v>898</v>
      </c>
      <c r="J114" t="s">
        <v>454</v>
      </c>
    </row>
    <row r="115" spans="1:15" ht="15.75" x14ac:dyDescent="0.3">
      <c r="A115" t="s">
        <v>446</v>
      </c>
      <c r="C115" s="293">
        <v>3.8451770000000003E-7</v>
      </c>
      <c r="D115" t="s">
        <v>439</v>
      </c>
      <c r="F115" s="33" t="s">
        <v>464</v>
      </c>
      <c r="G115" s="10">
        <f>1000000000*C115*D21/(H33*G112)</f>
        <v>249.04479200562142</v>
      </c>
      <c r="H115" t="s">
        <v>995</v>
      </c>
      <c r="J115" t="s">
        <v>449</v>
      </c>
    </row>
    <row r="116" spans="1:15" ht="15.75" x14ac:dyDescent="0.3">
      <c r="A116" t="s">
        <v>447</v>
      </c>
      <c r="C116" s="293">
        <v>1.0455E-3</v>
      </c>
      <c r="D116" t="s">
        <v>430</v>
      </c>
      <c r="F116" s="33" t="s">
        <v>462</v>
      </c>
      <c r="G116" s="10">
        <f>0.001*G115/SQRT(0.001*G105*G113)</f>
        <v>0.28804887698640957</v>
      </c>
      <c r="H116" t="s">
        <v>423</v>
      </c>
    </row>
    <row r="117" spans="1:15" x14ac:dyDescent="0.2">
      <c r="C117" s="145"/>
      <c r="D117" s="145"/>
      <c r="E117" s="145"/>
      <c r="F117" s="145"/>
    </row>
    <row r="118" spans="1:15" x14ac:dyDescent="0.2">
      <c r="C118" s="145"/>
      <c r="D118" s="145"/>
      <c r="E118" s="145"/>
      <c r="F118" s="145"/>
    </row>
    <row r="119" spans="1:15" x14ac:dyDescent="0.2">
      <c r="C119" s="145"/>
      <c r="D119" s="145"/>
      <c r="E119" s="145"/>
      <c r="F119" s="145"/>
    </row>
    <row r="121" spans="1:15" ht="23.25" x14ac:dyDescent="0.35">
      <c r="A121" s="1" t="s">
        <v>824</v>
      </c>
    </row>
    <row r="124" spans="1:15" ht="20.25" x14ac:dyDescent="0.3">
      <c r="E124" s="210" t="s">
        <v>194</v>
      </c>
    </row>
    <row r="125" spans="1:15" x14ac:dyDescent="0.2">
      <c r="D125" s="226"/>
    </row>
    <row r="127" spans="1:15" x14ac:dyDescent="0.2">
      <c r="E127" s="2" t="s">
        <v>825</v>
      </c>
      <c r="G127" s="2" t="s">
        <v>825</v>
      </c>
      <c r="O127" s="3" t="s">
        <v>826</v>
      </c>
    </row>
    <row r="128" spans="1:15" ht="13.5" thickBot="1" x14ac:dyDescent="0.25">
      <c r="E128" s="2" t="s">
        <v>827</v>
      </c>
      <c r="G128" s="2" t="s">
        <v>828</v>
      </c>
    </row>
    <row r="129" spans="1:22" x14ac:dyDescent="0.2">
      <c r="A129" s="3" t="s">
        <v>829</v>
      </c>
      <c r="E129" t="s">
        <v>830</v>
      </c>
      <c r="G129" t="s">
        <v>831</v>
      </c>
      <c r="I129" s="40" t="s">
        <v>1236</v>
      </c>
      <c r="O129" s="4" t="s">
        <v>832</v>
      </c>
      <c r="P129" s="5"/>
      <c r="Q129" s="6"/>
      <c r="R129" s="6"/>
      <c r="S129" s="6"/>
      <c r="T129" s="7"/>
      <c r="U129" s="8"/>
    </row>
    <row r="130" spans="1:22" ht="13.5" thickBot="1" x14ac:dyDescent="0.25">
      <c r="A130" t="s">
        <v>833</v>
      </c>
      <c r="E130" s="9">
        <v>20.323804590797806</v>
      </c>
      <c r="F130" t="s">
        <v>834</v>
      </c>
      <c r="G130" s="10">
        <f>E130/2.54</f>
        <v>8.0014978703928374</v>
      </c>
      <c r="H130" t="s">
        <v>835</v>
      </c>
      <c r="O130" s="11" t="s">
        <v>1098</v>
      </c>
      <c r="P130" s="12"/>
      <c r="Q130" s="13"/>
      <c r="R130" s="13"/>
      <c r="S130" s="13"/>
      <c r="T130" s="13"/>
      <c r="U130" s="14"/>
    </row>
    <row r="131" spans="1:22" x14ac:dyDescent="0.2">
      <c r="A131" t="s">
        <v>836</v>
      </c>
      <c r="E131" s="15">
        <f>1000*($R$134+$R$136*E130+$R$138*E130^2+$R$140*E130^3+$R$142*E130^4+$R$144*E130^5)/(1+$R$135*E130+$R$137*E130^2+$R$139*E130^3+$R$141*E130^4+$R$143*E130^5)</f>
        <v>122360.77082865853</v>
      </c>
      <c r="F131" t="s">
        <v>837</v>
      </c>
      <c r="G131" s="16">
        <f>E131</f>
        <v>122360.77082865853</v>
      </c>
      <c r="H131" t="s">
        <v>837</v>
      </c>
      <c r="I131" t="s">
        <v>0</v>
      </c>
    </row>
    <row r="132" spans="1:22" x14ac:dyDescent="0.2">
      <c r="A132" t="s">
        <v>839</v>
      </c>
      <c r="E132" s="17">
        <v>3.2143202177918018</v>
      </c>
      <c r="F132" t="s">
        <v>840</v>
      </c>
      <c r="G132" s="10">
        <f>E132</f>
        <v>3.2143202177918018</v>
      </c>
      <c r="H132" t="s">
        <v>840</v>
      </c>
      <c r="O132" t="s">
        <v>50</v>
      </c>
      <c r="R132" t="s">
        <v>841</v>
      </c>
    </row>
    <row r="133" spans="1:22" x14ac:dyDescent="0.2">
      <c r="A133" t="s">
        <v>842</v>
      </c>
      <c r="E133" s="10">
        <f>0.001*E132*E131</f>
        <v>393.30669953914639</v>
      </c>
      <c r="F133" t="s">
        <v>843</v>
      </c>
      <c r="G133" s="10">
        <f>E133</f>
        <v>393.30669953914639</v>
      </c>
      <c r="H133" t="s">
        <v>843</v>
      </c>
      <c r="Q133" t="s">
        <v>844</v>
      </c>
      <c r="R133" t="s">
        <v>845</v>
      </c>
      <c r="S133" t="s">
        <v>846</v>
      </c>
      <c r="T133" t="s">
        <v>847</v>
      </c>
      <c r="U133" t="s">
        <v>848</v>
      </c>
      <c r="V133" t="s">
        <v>848</v>
      </c>
    </row>
    <row r="134" spans="1:22" x14ac:dyDescent="0.2">
      <c r="E134" s="18"/>
      <c r="G134" s="18"/>
      <c r="O134" t="s">
        <v>849</v>
      </c>
      <c r="P134" t="s">
        <v>841</v>
      </c>
      <c r="Q134" s="2" t="s">
        <v>850</v>
      </c>
      <c r="R134">
        <v>0.10168117593888058</v>
      </c>
      <c r="S134">
        <v>1.3223173201672782E-8</v>
      </c>
      <c r="T134">
        <v>7689619.9110526303</v>
      </c>
      <c r="U134">
        <v>0.10168114835582463</v>
      </c>
      <c r="V134">
        <v>0.10168120352193655</v>
      </c>
    </row>
    <row r="135" spans="1:22" x14ac:dyDescent="0.2">
      <c r="A135" s="3" t="s">
        <v>851</v>
      </c>
      <c r="E135" s="18"/>
      <c r="G135" s="18"/>
      <c r="O135" t="s">
        <v>852</v>
      </c>
      <c r="P135">
        <v>7909</v>
      </c>
      <c r="Q135" s="2" t="s">
        <v>853</v>
      </c>
      <c r="R135">
        <v>-0.10298422903794459</v>
      </c>
      <c r="S135">
        <v>5.3550248326002946E-6</v>
      </c>
      <c r="T135">
        <v>-19231.32613895601</v>
      </c>
      <c r="U135">
        <v>-0.10299539942400515</v>
      </c>
      <c r="V135">
        <v>-0.10297305865188403</v>
      </c>
    </row>
    <row r="136" spans="1:22" x14ac:dyDescent="0.2">
      <c r="A136" t="s">
        <v>854</v>
      </c>
      <c r="E136" s="17">
        <v>0.6</v>
      </c>
      <c r="F136" t="s">
        <v>855</v>
      </c>
      <c r="G136" s="10">
        <f>E136</f>
        <v>0.6</v>
      </c>
      <c r="H136" t="s">
        <v>855</v>
      </c>
      <c r="I136" t="s">
        <v>856</v>
      </c>
      <c r="O136" t="s">
        <v>857</v>
      </c>
      <c r="P136">
        <v>0.99999210248868464</v>
      </c>
      <c r="Q136" s="2" t="s">
        <v>858</v>
      </c>
      <c r="R136">
        <v>11.60983286832051</v>
      </c>
      <c r="S136">
        <v>9.1837419778150747E-8</v>
      </c>
      <c r="T136">
        <v>126417237.07358155</v>
      </c>
      <c r="U136">
        <v>11.609832676751008</v>
      </c>
      <c r="V136">
        <v>11.609833059890009</v>
      </c>
    </row>
    <row r="137" spans="1:22" x14ac:dyDescent="0.2">
      <c r="A137" t="s">
        <v>859</v>
      </c>
      <c r="E137" s="10">
        <f>E133/E136</f>
        <v>655.51116589857736</v>
      </c>
      <c r="F137" t="s">
        <v>843</v>
      </c>
      <c r="G137" s="10">
        <f>E137</f>
        <v>655.51116589857736</v>
      </c>
      <c r="H137" t="s">
        <v>843</v>
      </c>
      <c r="O137" t="s">
        <v>860</v>
      </c>
      <c r="P137">
        <v>0.99998753024529152</v>
      </c>
      <c r="Q137" s="2" t="s">
        <v>861</v>
      </c>
      <c r="R137">
        <v>2.2002776709666754E-2</v>
      </c>
      <c r="S137">
        <v>2.7363452194542684E-5</v>
      </c>
      <c r="T137">
        <v>804.09359730037818</v>
      </c>
      <c r="U137">
        <v>2.1945697548595093E-2</v>
      </c>
      <c r="V137">
        <v>2.2059855870738415E-2</v>
      </c>
    </row>
    <row r="138" spans="1:22" x14ac:dyDescent="0.2">
      <c r="O138" t="s">
        <v>862</v>
      </c>
      <c r="P138">
        <v>0.17111001251528976</v>
      </c>
      <c r="Q138" s="2" t="s">
        <v>863</v>
      </c>
      <c r="R138">
        <v>-1.1136954486547923</v>
      </c>
      <c r="S138">
        <v>6.0018116082720363E-7</v>
      </c>
      <c r="T138">
        <v>-1855598.8113986021</v>
      </c>
      <c r="U138">
        <v>-1.1136967006107557</v>
      </c>
      <c r="V138">
        <v>-1.113694196698829</v>
      </c>
    </row>
    <row r="139" spans="1:22" x14ac:dyDescent="0.2">
      <c r="A139" s="3" t="s">
        <v>864</v>
      </c>
      <c r="O139" t="s">
        <v>865</v>
      </c>
      <c r="P139">
        <v>253242.33484612688</v>
      </c>
      <c r="Q139" s="2" t="s">
        <v>866</v>
      </c>
      <c r="R139">
        <v>-1.3154143255757434E-3</v>
      </c>
      <c r="S139">
        <v>2.7480228463650732E-6</v>
      </c>
      <c r="T139">
        <v>-478.67663375349957</v>
      </c>
      <c r="U139">
        <v>-1.3211466007857977E-3</v>
      </c>
      <c r="V139">
        <v>-1.3096820503656894E-3</v>
      </c>
    </row>
    <row r="140" spans="1:22" x14ac:dyDescent="0.2">
      <c r="A140" t="s">
        <v>867</v>
      </c>
      <c r="E140" s="17">
        <v>6.8038499999999997</v>
      </c>
      <c r="F140" t="s">
        <v>868</v>
      </c>
      <c r="G140" s="10">
        <f>E140/0.45359</f>
        <v>15</v>
      </c>
      <c r="H140" t="s">
        <v>869</v>
      </c>
      <c r="I140" t="s">
        <v>870</v>
      </c>
      <c r="O140" t="s">
        <v>871</v>
      </c>
      <c r="P140" t="s">
        <v>872</v>
      </c>
      <c r="Q140" s="2" t="s">
        <v>873</v>
      </c>
      <c r="R140">
        <v>0.13947545251861668</v>
      </c>
      <c r="S140">
        <v>1.9985227093290123E-6</v>
      </c>
      <c r="T140">
        <v>69789.27578233245</v>
      </c>
      <c r="U140">
        <v>0.13947128367329628</v>
      </c>
      <c r="V140">
        <v>0.13947962136393707</v>
      </c>
    </row>
    <row r="141" spans="1:22" x14ac:dyDescent="0.2">
      <c r="E141" s="19">
        <f>E140*(E137*0.001)</f>
        <v>4.4599996460990354</v>
      </c>
      <c r="F141" t="s">
        <v>874</v>
      </c>
      <c r="G141" s="19">
        <f>G140*(G137*0.001)</f>
        <v>9.8326674884786609</v>
      </c>
      <c r="H141" t="s">
        <v>875</v>
      </c>
      <c r="O141" t="s">
        <v>876</v>
      </c>
      <c r="P141" t="s">
        <v>1096</v>
      </c>
      <c r="Q141" s="2" t="s">
        <v>877</v>
      </c>
      <c r="R141">
        <v>2.2555679105447939E-5</v>
      </c>
      <c r="S141">
        <v>6.5879046074793471E-7</v>
      </c>
      <c r="T141">
        <v>34.238017168372679</v>
      </c>
      <c r="U141">
        <v>2.1181466284851963E-5</v>
      </c>
      <c r="V141">
        <v>2.3929891926043911E-5</v>
      </c>
    </row>
    <row r="142" spans="1:22" x14ac:dyDescent="0.2">
      <c r="Q142" s="2" t="s">
        <v>878</v>
      </c>
      <c r="R142">
        <v>-7.5887149573464346E-3</v>
      </c>
      <c r="S142">
        <v>1.9085810562317547E-5</v>
      </c>
      <c r="T142">
        <v>-397.61030492094301</v>
      </c>
      <c r="U142">
        <v>-7.6285272605428498E-3</v>
      </c>
      <c r="V142">
        <v>-7.5489026541500194E-3</v>
      </c>
    </row>
    <row r="143" spans="1:22" x14ac:dyDescent="0.2">
      <c r="A143" s="3" t="s">
        <v>1150</v>
      </c>
      <c r="Q143" s="2" t="s">
        <v>879</v>
      </c>
      <c r="R143">
        <v>9.0100227568697605E-9</v>
      </c>
      <c r="S143">
        <v>2.0535155590418438E-9</v>
      </c>
      <c r="T143">
        <v>4.3876087118978413</v>
      </c>
      <c r="U143">
        <v>4.726464362103705E-9</v>
      </c>
      <c r="V143">
        <v>1.3293581151635817E-8</v>
      </c>
    </row>
    <row r="144" spans="1:22" x14ac:dyDescent="0.2">
      <c r="A144" t="s">
        <v>1213</v>
      </c>
      <c r="E144" s="17">
        <v>9.9526065999999993</v>
      </c>
      <c r="G144" s="10">
        <f>E144</f>
        <v>9.9526065999999993</v>
      </c>
      <c r="I144" t="s">
        <v>881</v>
      </c>
      <c r="Q144" s="2" t="s">
        <v>882</v>
      </c>
      <c r="R144">
        <v>1.2967836582075207E-4</v>
      </c>
      <c r="S144">
        <v>3.20570851908624E-6</v>
      </c>
      <c r="T144">
        <v>40.452325920672223</v>
      </c>
      <c r="U144">
        <v>1.2299137502701682E-4</v>
      </c>
      <c r="V144">
        <v>1.3636535661448734E-4</v>
      </c>
    </row>
    <row r="145" spans="1:21" ht="14.25" x14ac:dyDescent="0.2">
      <c r="A145" t="s">
        <v>1220</v>
      </c>
      <c r="E145" s="17">
        <v>7.4009704651234269</v>
      </c>
      <c r="F145" t="s">
        <v>1099</v>
      </c>
      <c r="G145" s="10">
        <f>(E145/0.45359)*(2.54^2)/10^2</f>
        <v>1.0526709374719525</v>
      </c>
      <c r="H145" t="s">
        <v>1100</v>
      </c>
      <c r="I145" t="s">
        <v>1235</v>
      </c>
      <c r="O145" s="20"/>
      <c r="P145" s="21"/>
      <c r="Q145" s="21"/>
      <c r="R145" s="22"/>
      <c r="S145" s="22"/>
      <c r="T145" s="22"/>
      <c r="U145" s="22"/>
    </row>
    <row r="146" spans="1:21" ht="14.25" x14ac:dyDescent="0.2">
      <c r="A146" t="s">
        <v>1221</v>
      </c>
      <c r="E146" s="19">
        <f>E141/E145</f>
        <v>0.60262362444445394</v>
      </c>
      <c r="F146" t="s">
        <v>1101</v>
      </c>
      <c r="G146" s="23">
        <f>E146*1000/(2.54^3)</f>
        <v>36.774349843538417</v>
      </c>
      <c r="H146" t="s">
        <v>1102</v>
      </c>
      <c r="O146" s="21"/>
      <c r="P146" s="21"/>
      <c r="Q146" s="21"/>
      <c r="R146" s="21"/>
      <c r="S146" s="22"/>
      <c r="T146" s="22"/>
      <c r="U146" s="22"/>
    </row>
    <row r="147" spans="1:21" x14ac:dyDescent="0.2">
      <c r="A147" t="s">
        <v>885</v>
      </c>
      <c r="E147" s="23">
        <f>10*(4*E146/(E144*PI()))^(1/3)</f>
        <v>4.2560476143483825</v>
      </c>
      <c r="F147" t="s">
        <v>834</v>
      </c>
      <c r="G147" s="23">
        <f>E147/2.54</f>
        <v>1.6756092969875522</v>
      </c>
      <c r="H147" t="s">
        <v>835</v>
      </c>
      <c r="O147" s="21"/>
      <c r="P147" s="21"/>
      <c r="Q147" s="21"/>
      <c r="R147" s="21"/>
      <c r="S147" s="24"/>
      <c r="T147" s="24"/>
      <c r="U147" s="24"/>
    </row>
    <row r="148" spans="1:21" x14ac:dyDescent="0.2">
      <c r="A148" t="s">
        <v>886</v>
      </c>
      <c r="E148" s="23">
        <f>E144*E147</f>
        <v>42.358767576477966</v>
      </c>
      <c r="F148" t="s">
        <v>834</v>
      </c>
      <c r="G148" s="23">
        <f>E148/2.54</f>
        <v>16.67668014821967</v>
      </c>
      <c r="H148" t="s">
        <v>835</v>
      </c>
      <c r="O148" s="25"/>
      <c r="P148" s="21"/>
      <c r="Q148" s="25"/>
      <c r="R148" s="26"/>
      <c r="S148" s="24"/>
      <c r="T148" s="24"/>
      <c r="U148" s="24"/>
    </row>
    <row r="149" spans="1:21" ht="14.25" x14ac:dyDescent="0.2">
      <c r="A149" t="s">
        <v>887</v>
      </c>
      <c r="E149" s="23">
        <f>E147*E147*PI()/4</f>
        <v>14.226656225453873</v>
      </c>
      <c r="F149" t="s">
        <v>1103</v>
      </c>
      <c r="G149" s="23">
        <f>G147*G147*PI()/4</f>
        <v>2.2051361252176007</v>
      </c>
      <c r="H149" t="s">
        <v>1104</v>
      </c>
    </row>
    <row r="150" spans="1:21" ht="14.25" x14ac:dyDescent="0.2">
      <c r="A150" s="3" t="s">
        <v>1151</v>
      </c>
      <c r="E150" s="23">
        <f>0.9*E149</f>
        <v>12.803990602908486</v>
      </c>
      <c r="F150" t="s">
        <v>1103</v>
      </c>
      <c r="G150" s="23">
        <f>0.9*G149</f>
        <v>1.9846225126958408</v>
      </c>
      <c r="H150" t="s">
        <v>1104</v>
      </c>
      <c r="I150" t="s">
        <v>1222</v>
      </c>
    </row>
    <row r="151" spans="1:21" x14ac:dyDescent="0.2">
      <c r="A151" s="3" t="s">
        <v>1223</v>
      </c>
      <c r="E151" s="27"/>
      <c r="F151" s="18"/>
      <c r="G151" s="27"/>
    </row>
    <row r="152" spans="1:21" x14ac:dyDescent="0.2">
      <c r="A152" s="157" t="s">
        <v>954</v>
      </c>
      <c r="B152" s="148"/>
      <c r="C152" s="148"/>
      <c r="D152" s="148"/>
      <c r="E152" s="149">
        <v>4.8</v>
      </c>
      <c r="F152" s="150" t="s">
        <v>834</v>
      </c>
      <c r="G152" s="158">
        <f>E152/2.54</f>
        <v>1.889763779527559</v>
      </c>
      <c r="H152" s="131" t="s">
        <v>835</v>
      </c>
      <c r="I152" s="27"/>
    </row>
    <row r="153" spans="1:21" x14ac:dyDescent="0.2">
      <c r="A153" s="146" t="s">
        <v>1125</v>
      </c>
      <c r="B153" s="25"/>
      <c r="C153" s="25"/>
      <c r="D153" s="25"/>
      <c r="E153" s="152">
        <v>5</v>
      </c>
      <c r="F153" s="79" t="s">
        <v>834</v>
      </c>
      <c r="G153" s="159">
        <f>E153/2.54</f>
        <v>1.9685039370078741</v>
      </c>
      <c r="H153" s="133" t="s">
        <v>835</v>
      </c>
      <c r="I153" t="s">
        <v>1215</v>
      </c>
    </row>
    <row r="154" spans="1:21" x14ac:dyDescent="0.2">
      <c r="A154" s="146" t="s">
        <v>1214</v>
      </c>
      <c r="B154" s="25"/>
      <c r="C154" s="25"/>
      <c r="D154" s="25"/>
      <c r="E154" s="152">
        <v>50</v>
      </c>
      <c r="F154" s="79" t="s">
        <v>834</v>
      </c>
      <c r="G154" s="159">
        <f>E154/2.54</f>
        <v>19.685039370078741</v>
      </c>
      <c r="H154" s="133" t="s">
        <v>835</v>
      </c>
    </row>
    <row r="155" spans="1:21" x14ac:dyDescent="0.2">
      <c r="A155" s="141" t="s">
        <v>1232</v>
      </c>
      <c r="B155" s="142"/>
      <c r="C155" s="142"/>
      <c r="D155" s="142"/>
      <c r="E155" s="154">
        <f>(E153-E152)/2</f>
        <v>0.10000000000000009</v>
      </c>
      <c r="F155" s="155" t="s">
        <v>834</v>
      </c>
      <c r="G155" s="156">
        <f>E155/2.54</f>
        <v>3.9370078740157514E-2</v>
      </c>
      <c r="H155" s="135" t="s">
        <v>835</v>
      </c>
    </row>
    <row r="156" spans="1:21" x14ac:dyDescent="0.2">
      <c r="A156" s="25"/>
      <c r="B156" s="25"/>
      <c r="C156" s="25"/>
      <c r="D156" s="25"/>
      <c r="E156" s="79"/>
      <c r="F156" s="79"/>
      <c r="G156" s="209"/>
      <c r="H156" s="25"/>
    </row>
    <row r="157" spans="1:21" x14ac:dyDescent="0.2">
      <c r="A157" s="3" t="s">
        <v>49</v>
      </c>
      <c r="E157" s="27"/>
      <c r="F157" s="18"/>
      <c r="G157" s="27"/>
    </row>
    <row r="158" spans="1:21" x14ac:dyDescent="0.2">
      <c r="A158" t="s">
        <v>889</v>
      </c>
      <c r="E158" s="23">
        <f>E148-E147</f>
        <v>38.102719962129584</v>
      </c>
      <c r="F158" t="s">
        <v>834</v>
      </c>
      <c r="G158" s="23">
        <f>G148-G147</f>
        <v>15.001070851232118</v>
      </c>
      <c r="H158" t="s">
        <v>835</v>
      </c>
    </row>
    <row r="159" spans="1:21" x14ac:dyDescent="0.2">
      <c r="E159" s="27"/>
      <c r="F159" s="18"/>
      <c r="G159" s="27"/>
    </row>
    <row r="160" spans="1:21" x14ac:dyDescent="0.2">
      <c r="A160" s="122" t="s">
        <v>890</v>
      </c>
      <c r="B160" s="87"/>
      <c r="C160" s="87"/>
      <c r="D160" s="87"/>
      <c r="E160" s="124"/>
      <c r="F160" s="87"/>
      <c r="G160" s="124"/>
      <c r="H160" s="87"/>
      <c r="I160" s="87"/>
      <c r="J160" s="87"/>
      <c r="K160" s="87"/>
      <c r="L160" s="87"/>
      <c r="M160" s="87"/>
      <c r="P160" t="s">
        <v>1190</v>
      </c>
    </row>
    <row r="161" spans="1:19" x14ac:dyDescent="0.2">
      <c r="A161" t="s">
        <v>891</v>
      </c>
      <c r="E161" s="28">
        <v>22.235440787472154</v>
      </c>
      <c r="F161" s="18" t="s">
        <v>837</v>
      </c>
      <c r="G161" s="29">
        <f>E161</f>
        <v>22.235440787472154</v>
      </c>
      <c r="H161" t="s">
        <v>837</v>
      </c>
      <c r="P161" t="s">
        <v>1191</v>
      </c>
    </row>
    <row r="162" spans="1:19" x14ac:dyDescent="0.2">
      <c r="A162" t="s">
        <v>892</v>
      </c>
      <c r="E162" s="28">
        <v>50</v>
      </c>
      <c r="F162" s="18" t="s">
        <v>893</v>
      </c>
      <c r="G162" s="29">
        <f>E162</f>
        <v>50</v>
      </c>
      <c r="H162" t="s">
        <v>893</v>
      </c>
      <c r="I162" t="s">
        <v>1175</v>
      </c>
      <c r="P162" t="s">
        <v>1010</v>
      </c>
      <c r="R162" t="s">
        <v>852</v>
      </c>
      <c r="S162">
        <v>7909</v>
      </c>
    </row>
    <row r="163" spans="1:19" x14ac:dyDescent="0.2">
      <c r="A163" s="30" t="s">
        <v>894</v>
      </c>
      <c r="E163" s="28">
        <v>13.5</v>
      </c>
      <c r="F163" s="18" t="s">
        <v>895</v>
      </c>
      <c r="G163" s="29">
        <f>E163</f>
        <v>13.5</v>
      </c>
      <c r="H163" t="s">
        <v>895</v>
      </c>
      <c r="I163" t="s">
        <v>896</v>
      </c>
      <c r="P163" t="s">
        <v>1182</v>
      </c>
    </row>
    <row r="164" spans="1:19" x14ac:dyDescent="0.2">
      <c r="A164" t="s">
        <v>897</v>
      </c>
      <c r="E164" s="29">
        <f>E161/(PI()*E162*E163)</f>
        <v>1.0485571298232115E-2</v>
      </c>
      <c r="F164" s="18" t="s">
        <v>898</v>
      </c>
      <c r="G164" s="29">
        <f>G161/(PI()*G162*G163)</f>
        <v>1.0485571298232115E-2</v>
      </c>
      <c r="H164" t="s">
        <v>898</v>
      </c>
      <c r="P164" s="130" t="s">
        <v>844</v>
      </c>
      <c r="Q164" s="131" t="s">
        <v>845</v>
      </c>
    </row>
    <row r="165" spans="1:19" x14ac:dyDescent="0.2">
      <c r="E165" s="31"/>
      <c r="F165" s="18"/>
      <c r="G165" s="31"/>
      <c r="P165" s="132" t="s">
        <v>850</v>
      </c>
      <c r="Q165" s="133">
        <v>8.103163113762352E-3</v>
      </c>
    </row>
    <row r="166" spans="1:19" x14ac:dyDescent="0.2">
      <c r="E166" s="31"/>
      <c r="F166" s="18"/>
      <c r="G166" s="31"/>
      <c r="P166" s="132" t="s">
        <v>853</v>
      </c>
      <c r="Q166" s="133">
        <v>-0.34462926854037529</v>
      </c>
    </row>
    <row r="167" spans="1:19" x14ac:dyDescent="0.2">
      <c r="A167" t="s">
        <v>1174</v>
      </c>
      <c r="E167" s="32">
        <f xml:space="preserve"> ($Q$165+$Q$167*E144+$Q$169*E144*E144+$Q$171*E144*E144*E144+$Q$173*E144^4+$Q$175*E144^5)/(1+$Q$166*E144+$Q$168*E144*E144+$Q$170*E144*E144*E144+$Q$172*E144^4+$Q$174*E144^5)</f>
        <v>208.13610202546292</v>
      </c>
      <c r="F167" s="33"/>
      <c r="G167" s="32">
        <f xml:space="preserve"> ($Q$165+$Q$167*G144+$Q$169*G144*G144+$Q$171*G144*G144*G144+$Q$173*G144^4+$Q$175*G144^5)/(1+$Q$166*G144+$Q$168*G144*G144+$Q$170*G144*G144*G144+$Q$172*G144^4+$Q$174*G144^5)</f>
        <v>208.13610202546292</v>
      </c>
      <c r="P167" s="132" t="s">
        <v>858</v>
      </c>
      <c r="Q167" s="133">
        <v>6.6646780511440982</v>
      </c>
    </row>
    <row r="168" spans="1:19" x14ac:dyDescent="0.2">
      <c r="A168" t="s">
        <v>900</v>
      </c>
      <c r="E168" s="23">
        <f>10000*SQRT(E164*E148/(0.9*(E149/2.54)*E167))</f>
        <v>205.74921328079921</v>
      </c>
      <c r="F168" t="s">
        <v>913</v>
      </c>
      <c r="G168" s="16">
        <f>10000*SQRT((G164*G148)/(0.9*G149*G167))</f>
        <v>205.74921328079918</v>
      </c>
      <c r="H168" t="s">
        <v>913</v>
      </c>
      <c r="P168" s="132" t="s">
        <v>861</v>
      </c>
      <c r="Q168" s="133">
        <v>5.1350947397014741E-2</v>
      </c>
    </row>
    <row r="169" spans="1:19" ht="14.25" x14ac:dyDescent="0.2">
      <c r="A169" t="s">
        <v>901</v>
      </c>
      <c r="E169" s="28">
        <v>3.1000062000124</v>
      </c>
      <c r="F169" s="18" t="s">
        <v>1105</v>
      </c>
      <c r="G169" s="29">
        <f>E169*(25.4)^2</f>
        <v>2000</v>
      </c>
      <c r="H169" t="s">
        <v>1106</v>
      </c>
      <c r="P169" s="132" t="s">
        <v>863</v>
      </c>
      <c r="Q169" s="133">
        <v>-2.0595087169572923</v>
      </c>
    </row>
    <row r="170" spans="1:19" ht="14.25" x14ac:dyDescent="0.2">
      <c r="A170" t="s">
        <v>1224</v>
      </c>
      <c r="E170" s="29">
        <f>E163/E169</f>
        <v>4.3548299999999998</v>
      </c>
      <c r="F170" t="s">
        <v>1107</v>
      </c>
      <c r="G170" s="29">
        <f>G163/G169</f>
        <v>6.7499999999999999E-3</v>
      </c>
      <c r="H170" t="s">
        <v>1104</v>
      </c>
      <c r="P170" s="132" t="s">
        <v>866</v>
      </c>
      <c r="Q170" s="133">
        <v>-4.0299264697933367E-3</v>
      </c>
      <c r="R170" t="s">
        <v>1195</v>
      </c>
    </row>
    <row r="171" spans="1:19" x14ac:dyDescent="0.2">
      <c r="A171" t="s">
        <v>1225</v>
      </c>
      <c r="E171" s="29">
        <f>SQRT(4*E170/PI())</f>
        <v>2.3547275355333639</v>
      </c>
      <c r="F171" s="18" t="s">
        <v>904</v>
      </c>
      <c r="G171" s="29">
        <f>SQRT(4*G170/PI())</f>
        <v>9.2705808485565505E-2</v>
      </c>
      <c r="H171" t="s">
        <v>835</v>
      </c>
      <c r="N171" s="18"/>
      <c r="P171" s="132" t="s">
        <v>873</v>
      </c>
      <c r="Q171" s="133">
        <v>0.34222426119485005</v>
      </c>
    </row>
    <row r="172" spans="1:19" x14ac:dyDescent="0.2">
      <c r="A172" t="s">
        <v>1226</v>
      </c>
      <c r="E172" s="28">
        <v>2.9853999999999998</v>
      </c>
      <c r="F172" s="18" t="s">
        <v>904</v>
      </c>
      <c r="G172" s="29">
        <f>E172/25.4</f>
        <v>0.11753543307086614</v>
      </c>
      <c r="H172" t="s">
        <v>1186</v>
      </c>
      <c r="I172" s="121">
        <f>18.2054244290934-8.62881347370181*LN(E172)</f>
        <v>8.7677999862378435</v>
      </c>
      <c r="J172" t="s">
        <v>1181</v>
      </c>
      <c r="K172" s="126">
        <f>($Q$184+$Q$186*SQRT(E172)+$Q$188*E172+$Q$202*E172*SQRT(E172)+$Q$204*E172*E172+$Q$206*E172*E172*SQRT(E172))/(1+$Q$183*SQRT(E172)+$Q$187*E172+$Q$189*E172*SQRT(E172)+$Q$203*E172*E172+$Q$205*E172*E172*SQRT(E172))</f>
        <v>10.866191179759582</v>
      </c>
      <c r="L172" t="s">
        <v>1194</v>
      </c>
      <c r="N172" s="18"/>
      <c r="P172" s="132" t="s">
        <v>877</v>
      </c>
      <c r="Q172" s="133">
        <v>1.6091340444311558E-4</v>
      </c>
    </row>
    <row r="173" spans="1:19" x14ac:dyDescent="0.2">
      <c r="A173" t="s">
        <v>1227</v>
      </c>
      <c r="E173" s="28">
        <v>3.1271</v>
      </c>
      <c r="F173" s="18" t="s">
        <v>904</v>
      </c>
      <c r="G173" s="29">
        <f>E173/25.4</f>
        <v>0.12311417322834646</v>
      </c>
      <c r="H173" t="s">
        <v>835</v>
      </c>
      <c r="I173" t="s">
        <v>907</v>
      </c>
      <c r="P173" s="132" t="s">
        <v>878</v>
      </c>
      <c r="Q173" s="133">
        <v>-3.2967531556915383E-2</v>
      </c>
    </row>
    <row r="174" spans="1:19" x14ac:dyDescent="0.2">
      <c r="A174" t="s">
        <v>908</v>
      </c>
      <c r="E174" s="29">
        <f>10/E173</f>
        <v>3.1978510440983658</v>
      </c>
      <c r="F174" s="18" t="s">
        <v>909</v>
      </c>
      <c r="G174" s="29">
        <f>1/G173</f>
        <v>8.1225416520098488</v>
      </c>
      <c r="H174" t="s">
        <v>910</v>
      </c>
      <c r="P174" s="132" t="s">
        <v>879</v>
      </c>
      <c r="Q174" s="133">
        <v>-1.7204994913897629E-6</v>
      </c>
    </row>
    <row r="175" spans="1:19" x14ac:dyDescent="0.2">
      <c r="A175" t="s">
        <v>911</v>
      </c>
      <c r="E175" s="29">
        <f>G175/2.54</f>
        <v>4.1732283464566926</v>
      </c>
      <c r="F175" s="18" t="s">
        <v>909</v>
      </c>
      <c r="G175" s="28">
        <v>10.6</v>
      </c>
      <c r="H175" t="s">
        <v>910</v>
      </c>
      <c r="I175" t="s">
        <v>907</v>
      </c>
      <c r="P175" s="134" t="s">
        <v>882</v>
      </c>
      <c r="Q175" s="135">
        <v>1.4687120796037577E-3</v>
      </c>
    </row>
    <row r="176" spans="1:19" x14ac:dyDescent="0.2">
      <c r="A176" t="s">
        <v>912</v>
      </c>
      <c r="C176" s="16">
        <f>E168</f>
        <v>205.74921328079921</v>
      </c>
      <c r="D176" t="s">
        <v>913</v>
      </c>
      <c r="E176" s="29">
        <f>E168/E175</f>
        <v>49.302169974833021</v>
      </c>
      <c r="F176" s="18" t="s">
        <v>834</v>
      </c>
      <c r="G176" s="29">
        <f>G168/G175</f>
        <v>19.410303139698037</v>
      </c>
      <c r="H176" t="s">
        <v>835</v>
      </c>
    </row>
    <row r="177" spans="1:18" x14ac:dyDescent="0.2">
      <c r="P177" t="s">
        <v>1184</v>
      </c>
    </row>
    <row r="178" spans="1:18" x14ac:dyDescent="0.2">
      <c r="A178" t="s">
        <v>914</v>
      </c>
      <c r="E178" s="29">
        <f>E176/E158</f>
        <v>1.2939278356987272</v>
      </c>
      <c r="F178" s="18"/>
      <c r="G178" s="29">
        <f>G176/G158</f>
        <v>1.2939278356987272</v>
      </c>
      <c r="P178" t="s">
        <v>1185</v>
      </c>
    </row>
    <row r="179" spans="1:18" x14ac:dyDescent="0.2">
      <c r="A179" t="s">
        <v>915</v>
      </c>
      <c r="E179" s="28">
        <v>1.2641630382196425</v>
      </c>
      <c r="F179" s="18"/>
      <c r="G179" s="29">
        <f>E179</f>
        <v>1.2641630382196425</v>
      </c>
      <c r="I179" t="s">
        <v>916</v>
      </c>
      <c r="K179" s="79"/>
      <c r="L179" s="127"/>
      <c r="M179" s="79"/>
      <c r="N179" s="128"/>
      <c r="P179" s="125" t="s">
        <v>1192</v>
      </c>
    </row>
    <row r="180" spans="1:18" x14ac:dyDescent="0.2">
      <c r="A180" t="s">
        <v>917</v>
      </c>
      <c r="E180" s="28">
        <v>39</v>
      </c>
      <c r="F180" s="18" t="s">
        <v>834</v>
      </c>
      <c r="G180" s="29">
        <f>E180/2.54</f>
        <v>15.354330708661417</v>
      </c>
      <c r="H180" t="s">
        <v>835</v>
      </c>
      <c r="K180" s="127"/>
      <c r="L180" s="127"/>
      <c r="M180" s="129"/>
      <c r="N180" s="128"/>
      <c r="P180" t="s">
        <v>1193</v>
      </c>
    </row>
    <row r="181" spans="1:18" x14ac:dyDescent="0.2">
      <c r="A181" t="s">
        <v>918</v>
      </c>
      <c r="E181" s="29">
        <f>E179*E180*E175</f>
        <v>205.75000000000006</v>
      </c>
      <c r="F181" t="s">
        <v>913</v>
      </c>
      <c r="G181" s="29">
        <f>G179*G180*G175</f>
        <v>205.75000000000009</v>
      </c>
      <c r="H181" t="s">
        <v>913</v>
      </c>
      <c r="K181" s="127"/>
      <c r="L181" s="127"/>
      <c r="M181" s="129"/>
      <c r="N181" s="128"/>
      <c r="P181" t="s">
        <v>1183</v>
      </c>
    </row>
    <row r="182" spans="1:18" x14ac:dyDescent="0.2">
      <c r="E182" s="31"/>
      <c r="F182" s="18"/>
      <c r="G182" s="31"/>
      <c r="K182" s="127"/>
      <c r="L182" s="127"/>
      <c r="M182" s="129"/>
      <c r="N182" s="128"/>
      <c r="P182" s="130" t="s">
        <v>844</v>
      </c>
      <c r="Q182" s="131" t="s">
        <v>845</v>
      </c>
    </row>
    <row r="183" spans="1:18" x14ac:dyDescent="0.2">
      <c r="A183" s="147" t="s">
        <v>73</v>
      </c>
      <c r="E183" s="28">
        <v>2.1468357631833523</v>
      </c>
      <c r="F183" s="18" t="s">
        <v>904</v>
      </c>
      <c r="G183" s="29">
        <f>E183/25.4</f>
        <v>8.4521093038714662E-2</v>
      </c>
      <c r="H183" t="s">
        <v>835</v>
      </c>
      <c r="I183" s="30" t="s">
        <v>74</v>
      </c>
      <c r="K183" s="127"/>
      <c r="L183" s="127"/>
      <c r="M183" s="129"/>
      <c r="N183" s="128"/>
      <c r="P183" s="132" t="s">
        <v>853</v>
      </c>
      <c r="Q183" s="133">
        <v>-6.7817047817110376</v>
      </c>
    </row>
    <row r="184" spans="1:18" x14ac:dyDescent="0.2">
      <c r="A184" t="s">
        <v>1233</v>
      </c>
      <c r="E184" s="28">
        <v>11.4</v>
      </c>
      <c r="F184" s="18" t="s">
        <v>904</v>
      </c>
      <c r="G184" s="29">
        <f>E184/25.4</f>
        <v>0.44881889763779531</v>
      </c>
      <c r="H184" t="s">
        <v>835</v>
      </c>
      <c r="I184" t="s">
        <v>75</v>
      </c>
      <c r="K184" s="127"/>
      <c r="L184" s="127"/>
      <c r="M184" s="129"/>
      <c r="N184" s="128"/>
      <c r="P184" s="132" t="s">
        <v>850</v>
      </c>
      <c r="Q184" s="133">
        <v>48.499456691926625</v>
      </c>
    </row>
    <row r="185" spans="1:18" x14ac:dyDescent="0.2">
      <c r="A185" t="s">
        <v>102</v>
      </c>
      <c r="E185" s="29">
        <f>E179*E173</f>
        <v>3.9531642368166442</v>
      </c>
      <c r="F185" s="18" t="s">
        <v>904</v>
      </c>
      <c r="G185" s="29">
        <f>G179*G173</f>
        <v>0.15563638727624582</v>
      </c>
      <c r="H185" t="s">
        <v>835</v>
      </c>
    </row>
    <row r="186" spans="1:18" x14ac:dyDescent="0.2">
      <c r="A186" t="s">
        <v>92</v>
      </c>
      <c r="E186" s="29">
        <f>10*E153+2*(E183+E185)</f>
        <v>62.199999999999989</v>
      </c>
      <c r="F186" s="18" t="s">
        <v>904</v>
      </c>
      <c r="G186" s="29">
        <f>G147+2*(G183+G185)</f>
        <v>2.1559242576174733</v>
      </c>
      <c r="H186" t="s">
        <v>835</v>
      </c>
      <c r="I186" t="s">
        <v>1234</v>
      </c>
      <c r="K186" s="127"/>
      <c r="L186" s="127"/>
      <c r="M186" s="129"/>
      <c r="N186" s="128"/>
      <c r="P186" s="132" t="s">
        <v>858</v>
      </c>
      <c r="Q186" s="133">
        <v>-302.28512719754991</v>
      </c>
    </row>
    <row r="187" spans="1:18" x14ac:dyDescent="0.2">
      <c r="A187" t="s">
        <v>1229</v>
      </c>
      <c r="E187" s="29">
        <f>E186+2*E184</f>
        <v>84.999999999999986</v>
      </c>
      <c r="F187" s="18" t="s">
        <v>904</v>
      </c>
      <c r="G187" s="29">
        <f>E187/25.4</f>
        <v>3.3464566929133857</v>
      </c>
      <c r="H187" t="s">
        <v>835</v>
      </c>
      <c r="K187" s="127"/>
      <c r="L187" s="127"/>
      <c r="M187" s="129"/>
      <c r="N187" s="128"/>
      <c r="P187" s="132" t="s">
        <v>861</v>
      </c>
      <c r="Q187" s="133">
        <v>23.262370231416252</v>
      </c>
    </row>
    <row r="188" spans="1:18" x14ac:dyDescent="0.2">
      <c r="A188" t="s">
        <v>1217</v>
      </c>
      <c r="E188" s="16">
        <f>10*E148</f>
        <v>423.58767576477965</v>
      </c>
      <c r="F188" s="18" t="s">
        <v>904</v>
      </c>
      <c r="G188" s="16">
        <f>G148</f>
        <v>16.67668014821967</v>
      </c>
      <c r="H188" t="s">
        <v>835</v>
      </c>
      <c r="I188" t="s">
        <v>921</v>
      </c>
      <c r="K188" s="127"/>
      <c r="L188" s="127"/>
      <c r="M188" s="129"/>
      <c r="N188" s="128"/>
      <c r="P188" s="132" t="s">
        <v>863</v>
      </c>
      <c r="Q188" s="133">
        <v>901.98895838110639</v>
      </c>
    </row>
    <row r="189" spans="1:18" x14ac:dyDescent="0.2">
      <c r="M189" s="129"/>
      <c r="N189" s="128"/>
      <c r="P189" s="132" t="s">
        <v>866</v>
      </c>
      <c r="Q189" s="133">
        <v>-43.445806766984532</v>
      </c>
      <c r="R189" t="s">
        <v>1195</v>
      </c>
    </row>
    <row r="190" spans="1:18" x14ac:dyDescent="0.2">
      <c r="A190" t="s">
        <v>1126</v>
      </c>
      <c r="E190" s="39">
        <f>PI()*(10*E153+E186)/2</f>
        <v>176.24334786638738</v>
      </c>
      <c r="F190" t="s">
        <v>904</v>
      </c>
      <c r="G190" s="10">
        <f>E190/25.4</f>
        <v>6.9387144829286376</v>
      </c>
      <c r="H190" t="s">
        <v>835</v>
      </c>
      <c r="M190" s="129"/>
      <c r="N190" s="128"/>
      <c r="P190" s="132"/>
      <c r="Q190" s="133"/>
    </row>
    <row r="191" spans="1:18" x14ac:dyDescent="0.2">
      <c r="A191" t="s">
        <v>1127</v>
      </c>
      <c r="E191" s="16">
        <f>E190*E181/1000</f>
        <v>36.262068823509217</v>
      </c>
      <c r="F191" t="s">
        <v>980</v>
      </c>
      <c r="G191" s="10">
        <f>E191/0.3048</f>
        <v>118.97004207188063</v>
      </c>
      <c r="H191" t="s">
        <v>1064</v>
      </c>
      <c r="P191" s="132"/>
      <c r="Q191" s="133"/>
    </row>
    <row r="192" spans="1:18" x14ac:dyDescent="0.2">
      <c r="A192" t="s">
        <v>119</v>
      </c>
      <c r="E192" s="225">
        <f>E191*0.01786/(E172^2*PI()/4)</f>
        <v>9.2520739226159832E-2</v>
      </c>
      <c r="F192" t="s">
        <v>965</v>
      </c>
      <c r="G192" s="225">
        <f>E192</f>
        <v>9.2520739226159832E-2</v>
      </c>
      <c r="H192" t="s">
        <v>965</v>
      </c>
      <c r="I192" t="s">
        <v>113</v>
      </c>
      <c r="M192" s="41"/>
      <c r="P192" s="132"/>
      <c r="Q192" s="133"/>
    </row>
    <row r="193" spans="1:17" x14ac:dyDescent="0.2">
      <c r="A193" t="s">
        <v>114</v>
      </c>
      <c r="C193">
        <f>E181</f>
        <v>205.75000000000006</v>
      </c>
      <c r="D193" t="s">
        <v>913</v>
      </c>
      <c r="E193" s="225">
        <f>0.00000001*E181*E181*E149*E167/(2.54*E148)</f>
        <v>1.165072387258771E-2</v>
      </c>
      <c r="F193" t="s">
        <v>898</v>
      </c>
      <c r="G193" s="225">
        <f>0.00000001*G181*G181*G149*G167/G148</f>
        <v>1.1650723872587717E-2</v>
      </c>
      <c r="H193" t="s">
        <v>898</v>
      </c>
      <c r="M193" s="41"/>
      <c r="P193" s="132"/>
      <c r="Q193" s="133"/>
    </row>
    <row r="194" spans="1:17" x14ac:dyDescent="0.2">
      <c r="A194" t="s">
        <v>93</v>
      </c>
      <c r="E194" s="19">
        <f>10*E191*(0.01*E173)^2*PI()*8.93/4</f>
        <v>2.4870095743778742</v>
      </c>
      <c r="F194" t="s">
        <v>874</v>
      </c>
      <c r="G194" s="10">
        <f>E194/0.45359</f>
        <v>5.4829462165785712</v>
      </c>
      <c r="H194" t="s">
        <v>94</v>
      </c>
      <c r="M194" s="129"/>
      <c r="N194" s="128"/>
      <c r="P194" s="132"/>
      <c r="Q194" s="133"/>
    </row>
    <row r="195" spans="1:17" x14ac:dyDescent="0.2">
      <c r="M195" s="129"/>
      <c r="N195" s="128"/>
      <c r="P195" s="132"/>
      <c r="Q195" s="133"/>
    </row>
    <row r="196" spans="1:17" x14ac:dyDescent="0.2">
      <c r="A196" s="3" t="s">
        <v>1228</v>
      </c>
      <c r="K196" s="127"/>
      <c r="L196" s="127"/>
      <c r="M196" s="129"/>
      <c r="N196" s="128"/>
      <c r="P196" s="132"/>
      <c r="Q196" s="133"/>
    </row>
    <row r="197" spans="1:17" x14ac:dyDescent="0.2">
      <c r="A197" s="130" t="s">
        <v>1230</v>
      </c>
      <c r="B197" s="148"/>
      <c r="C197" s="148"/>
      <c r="D197" s="148"/>
      <c r="E197" s="149">
        <v>62.2</v>
      </c>
      <c r="F197" s="150" t="s">
        <v>904</v>
      </c>
      <c r="G197" s="151">
        <f>E197/25.4</f>
        <v>2.4488188976377954</v>
      </c>
      <c r="H197" s="131" t="s">
        <v>835</v>
      </c>
      <c r="K197" s="127"/>
      <c r="L197" s="127"/>
      <c r="M197" s="129"/>
      <c r="N197" s="128"/>
      <c r="P197" s="132"/>
      <c r="Q197" s="133"/>
    </row>
    <row r="198" spans="1:17" x14ac:dyDescent="0.2">
      <c r="A198" s="144" t="s">
        <v>1231</v>
      </c>
      <c r="B198" s="25"/>
      <c r="C198" s="25"/>
      <c r="D198" s="25"/>
      <c r="E198" s="152">
        <v>85</v>
      </c>
      <c r="F198" s="79" t="s">
        <v>904</v>
      </c>
      <c r="G198" s="153">
        <f>E198/25.4</f>
        <v>3.3464566929133861</v>
      </c>
      <c r="H198" s="133" t="s">
        <v>835</v>
      </c>
      <c r="I198" t="s">
        <v>1219</v>
      </c>
      <c r="K198" s="127"/>
      <c r="L198" s="127"/>
      <c r="M198" s="129"/>
      <c r="N198" s="128"/>
      <c r="P198" s="132"/>
      <c r="Q198" s="133"/>
    </row>
    <row r="199" spans="1:17" x14ac:dyDescent="0.2">
      <c r="A199" s="144" t="s">
        <v>1218</v>
      </c>
      <c r="B199" s="25"/>
      <c r="C199" s="25"/>
      <c r="D199" s="25"/>
      <c r="E199" s="152">
        <v>640</v>
      </c>
      <c r="F199" s="79" t="s">
        <v>904</v>
      </c>
      <c r="G199" s="153">
        <f>E199/25.4</f>
        <v>25.196850393700789</v>
      </c>
      <c r="H199" s="133" t="s">
        <v>835</v>
      </c>
      <c r="K199" s="127"/>
      <c r="L199" s="127"/>
      <c r="M199" s="129"/>
      <c r="N199" s="128"/>
      <c r="P199" s="132"/>
      <c r="Q199" s="133"/>
    </row>
    <row r="200" spans="1:17" x14ac:dyDescent="0.2">
      <c r="A200" s="141" t="s">
        <v>1232</v>
      </c>
      <c r="B200" s="142"/>
      <c r="C200" s="142"/>
      <c r="D200" s="142"/>
      <c r="E200" s="154">
        <f>(E198-E197)/2</f>
        <v>11.399999999999999</v>
      </c>
      <c r="F200" s="155" t="s">
        <v>904</v>
      </c>
      <c r="G200" s="156">
        <f>E200/25.4</f>
        <v>0.44881889763779526</v>
      </c>
      <c r="H200" s="135" t="s">
        <v>835</v>
      </c>
      <c r="K200" s="127"/>
      <c r="L200" s="127"/>
      <c r="M200" s="129"/>
      <c r="N200" s="128"/>
      <c r="P200" s="132"/>
      <c r="Q200" s="133"/>
    </row>
    <row r="201" spans="1:17" x14ac:dyDescent="0.2">
      <c r="E201" s="34"/>
      <c r="F201" s="18"/>
      <c r="G201" s="34"/>
      <c r="K201" s="127"/>
      <c r="L201" s="127"/>
      <c r="M201" s="129"/>
      <c r="N201" s="128"/>
      <c r="P201" s="132"/>
      <c r="Q201" s="133"/>
    </row>
    <row r="202" spans="1:17" x14ac:dyDescent="0.2">
      <c r="A202" s="122" t="s">
        <v>922</v>
      </c>
      <c r="B202" s="87"/>
      <c r="C202" s="87"/>
      <c r="D202" s="87"/>
      <c r="E202" s="123"/>
      <c r="F202" s="87"/>
      <c r="G202" s="123"/>
      <c r="H202" s="87"/>
      <c r="I202" s="87"/>
      <c r="J202" s="87"/>
      <c r="K202" s="87"/>
      <c r="L202" s="87"/>
      <c r="M202" s="87"/>
      <c r="N202" s="128"/>
      <c r="P202" s="132" t="s">
        <v>873</v>
      </c>
      <c r="Q202" s="133">
        <v>-1608.0731090483487</v>
      </c>
    </row>
    <row r="203" spans="1:17" x14ac:dyDescent="0.2">
      <c r="A203" s="3"/>
      <c r="E203" s="31"/>
      <c r="F203" s="18"/>
      <c r="G203" s="31"/>
      <c r="K203" s="127"/>
      <c r="L203" s="127"/>
      <c r="M203" s="129"/>
      <c r="N203" s="128"/>
      <c r="P203" s="132" t="s">
        <v>877</v>
      </c>
      <c r="Q203" s="133">
        <v>32.747527154612811</v>
      </c>
    </row>
    <row r="204" spans="1:17" x14ac:dyDescent="0.2">
      <c r="A204" s="36" t="s">
        <v>940</v>
      </c>
      <c r="E204" s="31"/>
      <c r="F204" s="18"/>
      <c r="G204" s="31"/>
      <c r="K204" s="127"/>
      <c r="L204" s="127"/>
      <c r="M204" s="129"/>
      <c r="N204" s="128"/>
      <c r="P204" s="132" t="s">
        <v>878</v>
      </c>
      <c r="Q204" s="133">
        <v>1473.6216622650322</v>
      </c>
    </row>
    <row r="205" spans="1:17" ht="15.75" x14ac:dyDescent="0.3">
      <c r="A205" s="37" t="s">
        <v>941</v>
      </c>
      <c r="E205" s="28">
        <v>220</v>
      </c>
      <c r="F205" s="18" t="s">
        <v>942</v>
      </c>
      <c r="G205" s="31"/>
      <c r="I205" s="37" t="s">
        <v>1110</v>
      </c>
      <c r="K205" s="127"/>
      <c r="L205" s="127"/>
      <c r="M205" s="129"/>
      <c r="N205" s="128"/>
      <c r="P205" s="132" t="s">
        <v>879</v>
      </c>
      <c r="Q205" s="133">
        <v>1.5143150437090254</v>
      </c>
    </row>
    <row r="206" spans="1:17" ht="15.75" x14ac:dyDescent="0.3">
      <c r="A206" s="37" t="s">
        <v>943</v>
      </c>
      <c r="E206" s="38">
        <f xml:space="preserve"> 1 / (SQRT(2)*PI() * E162* (E220 * E150) * 0.00000001)</f>
        <v>3.78038439047261</v>
      </c>
      <c r="F206" t="s">
        <v>1111</v>
      </c>
      <c r="H206" s="117">
        <f>E150</f>
        <v>12.803990602908486</v>
      </c>
      <c r="I206" s="37" t="s">
        <v>1112</v>
      </c>
      <c r="K206" s="127"/>
      <c r="L206" s="127"/>
      <c r="M206" s="129"/>
      <c r="N206" s="128"/>
      <c r="P206" s="134" t="s">
        <v>882</v>
      </c>
      <c r="Q206" s="135">
        <v>-352.61428696897144</v>
      </c>
    </row>
    <row r="207" spans="1:17" ht="15.75" x14ac:dyDescent="0.3">
      <c r="A207" s="37" t="s">
        <v>944</v>
      </c>
      <c r="E207" s="16">
        <f>E205 / (SQRT(2)*PI() * E162* (E220 * E150) * 0.00000001)</f>
        <v>831.6845659039742</v>
      </c>
      <c r="F207" s="18" t="s">
        <v>913</v>
      </c>
      <c r="G207" s="31"/>
      <c r="H207" s="119" t="s">
        <v>1176</v>
      </c>
      <c r="I207" s="37" t="s">
        <v>1113</v>
      </c>
    </row>
    <row r="208" spans="1:17" ht="15.75" x14ac:dyDescent="0.3">
      <c r="A208" s="37" t="s">
        <v>945</v>
      </c>
      <c r="E208" s="29">
        <f>E137</f>
        <v>655.51116589857736</v>
      </c>
      <c r="F208" s="18" t="s">
        <v>843</v>
      </c>
      <c r="G208" s="29">
        <f>G137</f>
        <v>655.51116589857736</v>
      </c>
      <c r="H208" t="s">
        <v>843</v>
      </c>
      <c r="I208" s="37" t="s">
        <v>1114</v>
      </c>
      <c r="J208" s="37"/>
      <c r="K208" s="37"/>
      <c r="L208" s="37"/>
      <c r="M208" s="37" t="s">
        <v>946</v>
      </c>
    </row>
    <row r="209" spans="1:15" ht="15.75" x14ac:dyDescent="0.3">
      <c r="A209" s="37" t="s">
        <v>947</v>
      </c>
      <c r="E209" s="16">
        <f xml:space="preserve"> E208 / (SQRT(2)*PI() * E162* (E220 * E150) * E163* 0.00000001)</f>
        <v>183.56179106248024</v>
      </c>
      <c r="F209" s="18" t="s">
        <v>913</v>
      </c>
      <c r="G209" s="16">
        <f xml:space="preserve"> G208 / (SQRT(2)*PI() * G162* (G220 * G150) * G163* 0.00000001)</f>
        <v>183.56179106248021</v>
      </c>
      <c r="H209" s="18" t="s">
        <v>913</v>
      </c>
      <c r="I209" s="37" t="s">
        <v>1115</v>
      </c>
      <c r="J209" s="37"/>
      <c r="K209" s="37"/>
      <c r="L209" s="37"/>
      <c r="M209" s="37" t="s">
        <v>1116</v>
      </c>
    </row>
    <row r="210" spans="1:15" ht="15.75" x14ac:dyDescent="0.3">
      <c r="A210" s="37" t="s">
        <v>948</v>
      </c>
      <c r="E210" s="39">
        <f xml:space="preserve"> E208 / (SQRT(2)*PI() * E162 * E220  * (E168 * E163) * 0.00000001)</f>
        <v>11.423243911068617</v>
      </c>
      <c r="F210" t="s">
        <v>1103</v>
      </c>
      <c r="G210" s="23">
        <f xml:space="preserve"> G208 / (SQRT(2)*PI() * G162 * G220  * (G168 * G163) * 0.00000001)</f>
        <v>1.7706063474283305</v>
      </c>
      <c r="H210" t="s">
        <v>1104</v>
      </c>
      <c r="I210" s="37" t="s">
        <v>1117</v>
      </c>
      <c r="J210" s="37"/>
      <c r="K210" s="37"/>
      <c r="L210" s="37"/>
      <c r="M210" s="37" t="s">
        <v>949</v>
      </c>
      <c r="O210" s="118">
        <f>E168</f>
        <v>205.74921328079921</v>
      </c>
    </row>
    <row r="211" spans="1:15" ht="15.75" x14ac:dyDescent="0.3">
      <c r="A211" s="37" t="s">
        <v>948</v>
      </c>
      <c r="E211" s="39">
        <f>E208 / (SQRT(2)*PI() * E162 * E220  * (E209 * E163) * 0.00000001)</f>
        <v>12.803990602908485</v>
      </c>
      <c r="F211" t="s">
        <v>1103</v>
      </c>
      <c r="G211" s="23">
        <f>G208 / (SQRT(2)*PI() * G162 * G220  * (G209 * G163) * 0.00000001)</f>
        <v>1.9846225126958406</v>
      </c>
      <c r="H211" t="s">
        <v>1104</v>
      </c>
      <c r="I211" s="37" t="s">
        <v>1117</v>
      </c>
      <c r="J211" s="37"/>
      <c r="K211" s="37"/>
      <c r="L211" s="37"/>
      <c r="M211" s="37" t="s">
        <v>949</v>
      </c>
      <c r="O211" s="118">
        <f>E209</f>
        <v>183.56179106248024</v>
      </c>
    </row>
    <row r="213" spans="1:15" x14ac:dyDescent="0.2">
      <c r="E213" s="31"/>
      <c r="F213" s="18"/>
      <c r="G213" s="31"/>
    </row>
    <row r="214" spans="1:15" x14ac:dyDescent="0.2">
      <c r="A214" s="3" t="s">
        <v>923</v>
      </c>
      <c r="E214" s="27"/>
      <c r="F214" s="18"/>
      <c r="G214" s="27"/>
    </row>
    <row r="215" spans="1:15" x14ac:dyDescent="0.2">
      <c r="A215" t="s">
        <v>924</v>
      </c>
      <c r="E215" s="23">
        <f>0.8*E158</f>
        <v>30.482175969703668</v>
      </c>
      <c r="F215" t="s">
        <v>834</v>
      </c>
      <c r="G215" s="23">
        <f>0.8*G158</f>
        <v>12.000856680985695</v>
      </c>
      <c r="H215" t="s">
        <v>835</v>
      </c>
    </row>
    <row r="217" spans="1:15" x14ac:dyDescent="0.2">
      <c r="A217" s="122" t="s">
        <v>925</v>
      </c>
      <c r="B217" s="87"/>
      <c r="C217" s="87"/>
      <c r="D217" s="87"/>
      <c r="E217" s="123"/>
      <c r="F217" s="87"/>
      <c r="G217" s="123"/>
      <c r="H217" s="87"/>
      <c r="I217" s="87"/>
      <c r="J217" s="87"/>
      <c r="K217" s="87"/>
      <c r="L217" s="87"/>
      <c r="M217" s="87"/>
    </row>
    <row r="218" spans="1:15" x14ac:dyDescent="0.2">
      <c r="A218" t="s">
        <v>926</v>
      </c>
      <c r="E218" s="28">
        <v>202.2</v>
      </c>
      <c r="F218" s="18"/>
      <c r="G218" s="29">
        <f>E218</f>
        <v>202.2</v>
      </c>
      <c r="I218" t="s">
        <v>927</v>
      </c>
    </row>
    <row r="219" spans="1:15" ht="14.25" x14ac:dyDescent="0.2">
      <c r="A219" t="s">
        <v>928</v>
      </c>
      <c r="E219" s="16">
        <f>G219/2.54</f>
        <v>2046.8608529544522</v>
      </c>
      <c r="F219" t="s">
        <v>1189</v>
      </c>
      <c r="G219" s="28">
        <v>5199.0265665043089</v>
      </c>
      <c r="H219" t="s">
        <v>1188</v>
      </c>
      <c r="I219" t="s">
        <v>929</v>
      </c>
    </row>
    <row r="220" spans="1:15" ht="14.25" x14ac:dyDescent="0.2">
      <c r="A220" t="s">
        <v>930</v>
      </c>
      <c r="E220" s="16">
        <f>G220/(2.54*2.54)</f>
        <v>9300.0186000371996</v>
      </c>
      <c r="F220" s="18" t="s">
        <v>931</v>
      </c>
      <c r="G220" s="28">
        <v>60000</v>
      </c>
      <c r="H220" t="s">
        <v>1108</v>
      </c>
      <c r="I220" t="s">
        <v>932</v>
      </c>
    </row>
    <row r="221" spans="1:15" x14ac:dyDescent="0.2">
      <c r="A221" t="s">
        <v>1109</v>
      </c>
      <c r="E221" s="16">
        <f>E220*E150</f>
        <v>119077.35076175044</v>
      </c>
      <c r="F221" s="18" t="s">
        <v>933</v>
      </c>
      <c r="G221" s="16">
        <f>G220*G150</f>
        <v>119077.35076175045</v>
      </c>
      <c r="H221" t="s">
        <v>934</v>
      </c>
    </row>
    <row r="222" spans="1:15" x14ac:dyDescent="0.2">
      <c r="E222" s="31"/>
      <c r="F222" s="18"/>
      <c r="G222" s="31"/>
    </row>
    <row r="223" spans="1:15" x14ac:dyDescent="0.2">
      <c r="A223" t="s">
        <v>935</v>
      </c>
      <c r="E223" s="16">
        <f>E218*E168</f>
        <v>41602.490925377599</v>
      </c>
      <c r="F223" s="18" t="s">
        <v>913</v>
      </c>
      <c r="G223" s="16">
        <f>G218*G168</f>
        <v>41602.490925377591</v>
      </c>
      <c r="H223" s="18" t="s">
        <v>913</v>
      </c>
    </row>
    <row r="224" spans="1:15" x14ac:dyDescent="0.2">
      <c r="A224" t="s">
        <v>936</v>
      </c>
      <c r="E224" s="16">
        <f>E219*E130</f>
        <v>41600.000000000007</v>
      </c>
      <c r="F224" s="18" t="s">
        <v>913</v>
      </c>
      <c r="G224" s="16">
        <f>G219*G130</f>
        <v>41600.000000000015</v>
      </c>
      <c r="H224" s="18" t="s">
        <v>913</v>
      </c>
      <c r="I224" t="s">
        <v>937</v>
      </c>
    </row>
    <row r="225" spans="1:15" x14ac:dyDescent="0.2">
      <c r="E225" s="31"/>
      <c r="F225" s="18"/>
      <c r="G225" s="31"/>
    </row>
    <row r="226" spans="1:15" x14ac:dyDescent="0.2">
      <c r="A226" t="s">
        <v>938</v>
      </c>
      <c r="E226" s="29">
        <f>E131/E218</f>
        <v>605.14723456309855</v>
      </c>
      <c r="F226" s="18" t="s">
        <v>837</v>
      </c>
      <c r="G226" s="29">
        <f>G131/G218</f>
        <v>605.14723456309855</v>
      </c>
      <c r="H226" t="s">
        <v>837</v>
      </c>
      <c r="I226" t="s">
        <v>939</v>
      </c>
    </row>
    <row r="227" spans="1:15" x14ac:dyDescent="0.2">
      <c r="E227" s="31"/>
      <c r="F227" s="18"/>
      <c r="G227" s="31"/>
    </row>
    <row r="228" spans="1:15" x14ac:dyDescent="0.2">
      <c r="E228" s="31"/>
      <c r="F228" s="18"/>
      <c r="G228" s="31"/>
    </row>
    <row r="229" spans="1:15" x14ac:dyDescent="0.2">
      <c r="B229" s="40" t="s">
        <v>950</v>
      </c>
    </row>
    <row r="231" spans="1:15" x14ac:dyDescent="0.2">
      <c r="A231" t="s">
        <v>952</v>
      </c>
      <c r="E231" s="16">
        <f>E223</f>
        <v>41602.490925377599</v>
      </c>
      <c r="F231" t="s">
        <v>913</v>
      </c>
    </row>
    <row r="232" spans="1:15" x14ac:dyDescent="0.2">
      <c r="A232" t="s">
        <v>954</v>
      </c>
      <c r="E232" s="23">
        <f>E198</f>
        <v>85</v>
      </c>
      <c r="F232" t="s">
        <v>904</v>
      </c>
      <c r="G232" s="23">
        <f t="shared" ref="G232:G239" si="1">E232/25.4</f>
        <v>3.3464566929133861</v>
      </c>
      <c r="H232" t="s">
        <v>835</v>
      </c>
      <c r="K232" t="s">
        <v>962</v>
      </c>
      <c r="M232">
        <v>0.20319999999999999</v>
      </c>
      <c r="N232" t="s">
        <v>904</v>
      </c>
    </row>
    <row r="233" spans="1:15" x14ac:dyDescent="0.2">
      <c r="A233" t="s">
        <v>956</v>
      </c>
      <c r="E233" s="10">
        <f>E215*10</f>
        <v>304.82175969703667</v>
      </c>
      <c r="F233" t="s">
        <v>904</v>
      </c>
      <c r="G233" s="23">
        <f t="shared" si="1"/>
        <v>12.000856680985697</v>
      </c>
      <c r="H233" t="s">
        <v>835</v>
      </c>
      <c r="K233" s="25" t="s">
        <v>1227</v>
      </c>
      <c r="M233">
        <v>0.39623999999999998</v>
      </c>
      <c r="N233" t="s">
        <v>904</v>
      </c>
    </row>
    <row r="234" spans="1:15" x14ac:dyDescent="0.2">
      <c r="A234" t="s">
        <v>958</v>
      </c>
      <c r="E234" s="17">
        <v>304.82175969703667</v>
      </c>
      <c r="F234" t="s">
        <v>904</v>
      </c>
      <c r="G234" s="23">
        <f t="shared" si="1"/>
        <v>12.000856680985697</v>
      </c>
      <c r="H234" t="s">
        <v>835</v>
      </c>
    </row>
    <row r="235" spans="1:15" x14ac:dyDescent="0.2">
      <c r="A235" t="s">
        <v>960</v>
      </c>
      <c r="E235" s="10">
        <f>(E233+E234)/2</f>
        <v>304.82175969703667</v>
      </c>
      <c r="F235" t="s">
        <v>904</v>
      </c>
      <c r="G235" s="23">
        <f t="shared" si="1"/>
        <v>12.000856680985697</v>
      </c>
      <c r="H235" t="s">
        <v>835</v>
      </c>
      <c r="O235" s="18"/>
    </row>
    <row r="236" spans="1:15" x14ac:dyDescent="0.2">
      <c r="A236" t="s">
        <v>60</v>
      </c>
      <c r="E236" s="17">
        <v>0.45</v>
      </c>
      <c r="F236" t="s">
        <v>904</v>
      </c>
      <c r="G236" s="29">
        <f t="shared" si="1"/>
        <v>1.7716535433070866E-2</v>
      </c>
      <c r="H236" t="s">
        <v>1186</v>
      </c>
      <c r="I236" s="121">
        <f>18.2054244290934-8.62881347370181*LN(E236)</f>
        <v>25.0955983970719</v>
      </c>
      <c r="J236" t="s">
        <v>1181</v>
      </c>
      <c r="K236" s="126">
        <f>($Q$184+$Q$186*SQRT(E236)+$Q$188*E236+$Q$202*E236*SQRT(E236)+$Q$204*E236*E236+$Q$206*E236*E236*SQRT(E236))/(1+$Q$183*SQRT(E236)+$Q$187*E236+$Q$189*E236*SQRT(E236)+$Q$203*E236*E236+$Q$205*E236*E236*SQRT(E236))</f>
        <v>26.052182605953909</v>
      </c>
      <c r="L236" t="s">
        <v>1187</v>
      </c>
      <c r="O236" s="18"/>
    </row>
    <row r="237" spans="1:15" x14ac:dyDescent="0.2">
      <c r="A237" s="25" t="s">
        <v>1227</v>
      </c>
      <c r="E237" s="17">
        <v>0.53</v>
      </c>
      <c r="F237" t="s">
        <v>904</v>
      </c>
      <c r="G237" s="29">
        <f t="shared" si="1"/>
        <v>2.0866141732283468E-2</v>
      </c>
      <c r="H237" t="s">
        <v>835</v>
      </c>
    </row>
    <row r="238" spans="1:15" x14ac:dyDescent="0.2">
      <c r="A238" t="s">
        <v>963</v>
      </c>
      <c r="E238" s="17">
        <v>0.1</v>
      </c>
      <c r="F238" t="s">
        <v>904</v>
      </c>
      <c r="G238" s="29">
        <f t="shared" si="1"/>
        <v>3.9370078740157488E-3</v>
      </c>
      <c r="H238" t="s">
        <v>835</v>
      </c>
    </row>
    <row r="239" spans="1:15" x14ac:dyDescent="0.2">
      <c r="A239" t="s">
        <v>91</v>
      </c>
      <c r="E239" s="17">
        <v>0</v>
      </c>
      <c r="F239" t="s">
        <v>904</v>
      </c>
      <c r="G239" s="29">
        <f t="shared" si="1"/>
        <v>0</v>
      </c>
      <c r="H239" t="s">
        <v>835</v>
      </c>
      <c r="I239" s="40" t="s">
        <v>951</v>
      </c>
    </row>
    <row r="240" spans="1:15" x14ac:dyDescent="0.2">
      <c r="A240" s="147" t="s">
        <v>131</v>
      </c>
      <c r="E240" s="23">
        <f>(E246-1)*(E238+E239)</f>
        <v>7.1335125328208253</v>
      </c>
      <c r="F240" t="s">
        <v>904</v>
      </c>
    </row>
    <row r="241" spans="1:14" x14ac:dyDescent="0.2">
      <c r="A241" t="s">
        <v>967</v>
      </c>
      <c r="E241" s="16">
        <f>E233/E237</f>
        <v>575.13539565478618</v>
      </c>
      <c r="F241" t="s">
        <v>913</v>
      </c>
      <c r="I241" t="s">
        <v>953</v>
      </c>
      <c r="M241" s="10">
        <f>E231</f>
        <v>41602.490925377599</v>
      </c>
      <c r="N241" t="s">
        <v>913</v>
      </c>
    </row>
    <row r="242" spans="1:14" x14ac:dyDescent="0.2">
      <c r="A242" t="s">
        <v>969</v>
      </c>
      <c r="E242" s="16">
        <f>E235/E237</f>
        <v>575.13539565478618</v>
      </c>
      <c r="F242" t="s">
        <v>913</v>
      </c>
      <c r="I242" s="41" t="s">
        <v>955</v>
      </c>
      <c r="M242" s="23">
        <f>(E232+E247)/(2*25.4)</f>
        <v>5.1366586203453233</v>
      </c>
      <c r="N242" t="s">
        <v>835</v>
      </c>
    </row>
    <row r="243" spans="1:14" x14ac:dyDescent="0.2">
      <c r="A243" t="s">
        <v>972</v>
      </c>
      <c r="E243" s="16">
        <f>E234/E237</f>
        <v>575.13539565478618</v>
      </c>
      <c r="F243" t="s">
        <v>913</v>
      </c>
      <c r="I243" s="41" t="s">
        <v>957</v>
      </c>
      <c r="M243" s="23">
        <f>E242*(E237)/25.4</f>
        <v>12.000856680985697</v>
      </c>
      <c r="N243" t="s">
        <v>835</v>
      </c>
    </row>
    <row r="244" spans="1:14" x14ac:dyDescent="0.2">
      <c r="A244" t="s">
        <v>973</v>
      </c>
      <c r="E244" s="10">
        <f>((E241-E243)/E246)</f>
        <v>0</v>
      </c>
      <c r="F244" t="s">
        <v>913</v>
      </c>
      <c r="I244" t="s">
        <v>959</v>
      </c>
      <c r="M244" s="23">
        <f>E246*(E236+E239+E238)/25.4</f>
        <v>1.5663117689178954</v>
      </c>
      <c r="N244" t="s">
        <v>835</v>
      </c>
    </row>
    <row r="245" spans="1:14" ht="15.75" x14ac:dyDescent="0.3">
      <c r="I245" t="s">
        <v>1118</v>
      </c>
      <c r="M245" s="39">
        <f>0.000001*(0.2*M242^2*M241^2)/(3*M242+9*M243+10*M244)</f>
        <v>65.669374634673289</v>
      </c>
      <c r="N245" t="s">
        <v>898</v>
      </c>
    </row>
    <row r="246" spans="1:14" x14ac:dyDescent="0.2">
      <c r="A246" t="s">
        <v>1124</v>
      </c>
      <c r="E246" s="39">
        <f>E231/E242</f>
        <v>72.33512532820825</v>
      </c>
      <c r="F246" s="30" t="s">
        <v>975</v>
      </c>
      <c r="I246" t="s">
        <v>1119</v>
      </c>
      <c r="M246" s="17">
        <v>30</v>
      </c>
    </row>
    <row r="247" spans="1:14" ht="15.75" x14ac:dyDescent="0.3">
      <c r="A247" t="s">
        <v>1125</v>
      </c>
      <c r="E247" s="39">
        <f>((E237+E238+E239)*E246-(E238+E239))*2+E232</f>
        <v>175.94225791354239</v>
      </c>
      <c r="F247" t="s">
        <v>904</v>
      </c>
      <c r="I247" t="s">
        <v>1120</v>
      </c>
      <c r="M247" s="39">
        <f>M245*M246</f>
        <v>1970.0812390401986</v>
      </c>
      <c r="N247" t="s">
        <v>898</v>
      </c>
    </row>
    <row r="248" spans="1:14" ht="15.75" x14ac:dyDescent="0.3">
      <c r="A248" t="s">
        <v>1140</v>
      </c>
      <c r="E248" s="23">
        <f>(E233-E234)/(2*E246)</f>
        <v>0</v>
      </c>
      <c r="F248" t="s">
        <v>904</v>
      </c>
      <c r="I248" t="s">
        <v>1121</v>
      </c>
      <c r="M248" s="16">
        <f>E251*0.01786/(E236*E236*PI()/4)</f>
        <v>1914.9179634148841</v>
      </c>
      <c r="N248" t="s">
        <v>965</v>
      </c>
    </row>
    <row r="249" spans="1:14" ht="14.25" x14ac:dyDescent="0.2">
      <c r="I249" t="s">
        <v>966</v>
      </c>
      <c r="M249" s="17">
        <v>1</v>
      </c>
      <c r="N249" t="s">
        <v>1105</v>
      </c>
    </row>
    <row r="250" spans="1:14" x14ac:dyDescent="0.2">
      <c r="A250" t="s">
        <v>1126</v>
      </c>
      <c r="E250" s="39">
        <f>PI()*(E232+E247)/2</f>
        <v>409.88714023615893</v>
      </c>
      <c r="F250" t="s">
        <v>904</v>
      </c>
      <c r="I250" t="s">
        <v>968</v>
      </c>
      <c r="M250" s="39">
        <f>1000*(E236*E236*PI()/4)*M249</f>
        <v>159.04312808798329</v>
      </c>
      <c r="N250" t="s">
        <v>840</v>
      </c>
    </row>
    <row r="251" spans="1:14" x14ac:dyDescent="0.2">
      <c r="A251" t="s">
        <v>1127</v>
      </c>
      <c r="E251" s="16">
        <f>E250*E231/1000</f>
        <v>17052.326032103778</v>
      </c>
      <c r="F251" t="s">
        <v>980</v>
      </c>
      <c r="I251" t="s">
        <v>970</v>
      </c>
      <c r="M251" s="23">
        <f>0.000001*M250*M250*M248</f>
        <v>48.437307181529732</v>
      </c>
      <c r="N251" t="s">
        <v>971</v>
      </c>
    </row>
    <row r="252" spans="1:14" x14ac:dyDescent="0.2">
      <c r="A252" t="s">
        <v>1128</v>
      </c>
      <c r="E252" s="19">
        <f>10*E251*(0.01*E236)^2*PI()*8.93/4</f>
        <v>24.218653590764866</v>
      </c>
      <c r="F252" t="s">
        <v>874</v>
      </c>
    </row>
    <row r="253" spans="1:14" x14ac:dyDescent="0.2">
      <c r="A253" s="122" t="s">
        <v>1152</v>
      </c>
      <c r="B253" s="87"/>
      <c r="C253" s="87"/>
      <c r="D253" s="87"/>
      <c r="E253" s="123"/>
      <c r="F253" s="87"/>
      <c r="G253" s="123"/>
      <c r="H253" s="87"/>
      <c r="I253" s="87"/>
      <c r="J253" s="87"/>
      <c r="K253" s="87"/>
      <c r="L253" s="87"/>
      <c r="M253" s="87"/>
    </row>
    <row r="256" spans="1:14" x14ac:dyDescent="0.2">
      <c r="A256" s="3" t="s">
        <v>982</v>
      </c>
    </row>
    <row r="257" spans="1:7" x14ac:dyDescent="0.2">
      <c r="A257" t="s">
        <v>1134</v>
      </c>
      <c r="E257" s="23">
        <f>E247/E187</f>
        <v>2.0699089166299109</v>
      </c>
      <c r="G257" s="100" t="str">
        <f>IF(E257&lt;=2.5,"OK","too fat")</f>
        <v>OK</v>
      </c>
    </row>
    <row r="258" spans="1:7" x14ac:dyDescent="0.2">
      <c r="E258" s="27"/>
      <c r="F258" s="18"/>
      <c r="G258" s="27"/>
    </row>
    <row r="260" spans="1:7" x14ac:dyDescent="0.2">
      <c r="A260" s="3" t="s">
        <v>1135</v>
      </c>
    </row>
    <row r="261" spans="1:7" x14ac:dyDescent="0.2">
      <c r="A261" s="3" t="s">
        <v>983</v>
      </c>
    </row>
    <row r="262" spans="1:7" x14ac:dyDescent="0.2">
      <c r="A262" t="s">
        <v>1136</v>
      </c>
      <c r="E262" s="23">
        <f>0.1*E233/E130</f>
        <v>1.4998262669532534</v>
      </c>
      <c r="G262" s="112" t="str">
        <f>IF(E262&gt;=1.33,"OK","too short")</f>
        <v>OK</v>
      </c>
    </row>
    <row r="265" spans="1:7" x14ac:dyDescent="0.2">
      <c r="A265" s="3" t="s">
        <v>984</v>
      </c>
    </row>
    <row r="266" spans="1:7" x14ac:dyDescent="0.2">
      <c r="A266" s="3" t="s">
        <v>985</v>
      </c>
    </row>
    <row r="267" spans="1:7" x14ac:dyDescent="0.2">
      <c r="A267" s="3" t="s">
        <v>986</v>
      </c>
    </row>
    <row r="268" spans="1:7" x14ac:dyDescent="0.2">
      <c r="A268" t="s">
        <v>1137</v>
      </c>
      <c r="E268" s="23">
        <f>0.1*E188/E130</f>
        <v>2.0841947868194488</v>
      </c>
      <c r="G268" s="112" t="str">
        <f>IF(E268&gt;=2,"OK","too short")</f>
        <v>OK</v>
      </c>
    </row>
    <row r="269" spans="1:7" x14ac:dyDescent="0.2">
      <c r="A269" t="s">
        <v>1177</v>
      </c>
      <c r="E269" s="23">
        <f>E188/E233</f>
        <v>1.3896241403034508</v>
      </c>
      <c r="G269" s="112" t="str">
        <f>IF(E269&gt;=2,"OK","too short")</f>
        <v>too short</v>
      </c>
    </row>
    <row r="270" spans="1:7" x14ac:dyDescent="0.2">
      <c r="A270" s="3"/>
    </row>
    <row r="271" spans="1:7" x14ac:dyDescent="0.2">
      <c r="A271" s="3" t="s">
        <v>987</v>
      </c>
    </row>
    <row r="272" spans="1:7" x14ac:dyDescent="0.2">
      <c r="A272" s="3" t="s">
        <v>988</v>
      </c>
    </row>
    <row r="273" spans="1:9" x14ac:dyDescent="0.2">
      <c r="A273" s="113" t="s">
        <v>1138</v>
      </c>
      <c r="E273" s="10">
        <f>G219</f>
        <v>5199.0265665043089</v>
      </c>
      <c r="F273" t="s">
        <v>1139</v>
      </c>
    </row>
    <row r="274" spans="1:9" x14ac:dyDescent="0.2">
      <c r="A274" s="3"/>
    </row>
    <row r="275" spans="1:9" x14ac:dyDescent="0.2">
      <c r="A275" s="3"/>
    </row>
    <row r="276" spans="1:9" x14ac:dyDescent="0.2">
      <c r="A276" s="3" t="s">
        <v>989</v>
      </c>
    </row>
    <row r="277" spans="1:9" x14ac:dyDescent="0.2">
      <c r="A277" s="3" t="s">
        <v>990</v>
      </c>
    </row>
    <row r="278" spans="1:9" x14ac:dyDescent="0.2">
      <c r="A278" s="3" t="s">
        <v>991</v>
      </c>
    </row>
    <row r="279" spans="1:9" x14ac:dyDescent="0.2">
      <c r="A279" s="113" t="s">
        <v>1141</v>
      </c>
      <c r="E279" s="10">
        <f>E218</f>
        <v>202.2</v>
      </c>
      <c r="F279" t="s">
        <v>1139</v>
      </c>
    </row>
    <row r="280" spans="1:9" x14ac:dyDescent="0.2">
      <c r="A280" s="3"/>
    </row>
    <row r="281" spans="1:9" x14ac:dyDescent="0.2">
      <c r="A281" s="3"/>
    </row>
    <row r="282" spans="1:9" x14ac:dyDescent="0.2">
      <c r="A282" s="3" t="s">
        <v>1142</v>
      </c>
    </row>
    <row r="283" spans="1:9" x14ac:dyDescent="0.2">
      <c r="A283" s="3" t="s">
        <v>1143</v>
      </c>
    </row>
    <row r="284" spans="1:9" x14ac:dyDescent="0.2">
      <c r="A284" s="113" t="s">
        <v>1144</v>
      </c>
      <c r="E284" s="10">
        <f>E180/E148</f>
        <v>0.92070667376207838</v>
      </c>
      <c r="G284" s="112" t="str">
        <f>IF(E284&gt;=0.85,"OK",IF(E284&gt;=0.7,"a bit short","too short"))</f>
        <v>OK</v>
      </c>
      <c r="I284" t="s">
        <v>426</v>
      </c>
    </row>
    <row r="285" spans="1:9" x14ac:dyDescent="0.2">
      <c r="A285" s="113" t="s">
        <v>1145</v>
      </c>
      <c r="E285" s="10">
        <f>E179-E178</f>
        <v>-2.976479747908467E-2</v>
      </c>
      <c r="G285" s="112" t="str">
        <f>IF(E285&lt;0.5,"low",IF(AND(E285&gt;=0.5,E285&lt;=1),"OK","too high"))</f>
        <v>low</v>
      </c>
    </row>
    <row r="286" spans="1:9" x14ac:dyDescent="0.2">
      <c r="A286" s="3"/>
      <c r="D286" s="33" t="s">
        <v>1178</v>
      </c>
      <c r="E286" s="112">
        <f>E179</f>
        <v>1.2641630382196425</v>
      </c>
      <c r="F286" s="2" t="s">
        <v>1179</v>
      </c>
      <c r="G286" s="100">
        <f>E178</f>
        <v>1.2939278356987272</v>
      </c>
      <c r="H286" t="s">
        <v>1180</v>
      </c>
    </row>
    <row r="287" spans="1:9" x14ac:dyDescent="0.2">
      <c r="A287" s="3"/>
      <c r="D287" s="33"/>
      <c r="E287" s="116"/>
      <c r="F287" s="116"/>
      <c r="G287" s="120"/>
    </row>
    <row r="288" spans="1:9" x14ac:dyDescent="0.2">
      <c r="A288" s="3"/>
    </row>
    <row r="289" spans="1:6" x14ac:dyDescent="0.2">
      <c r="A289" s="3" t="s">
        <v>1148</v>
      </c>
    </row>
    <row r="290" spans="1:6" x14ac:dyDescent="0.2">
      <c r="A290" s="3" t="s">
        <v>1146</v>
      </c>
    </row>
    <row r="291" spans="1:6" x14ac:dyDescent="0.2">
      <c r="A291" s="3" t="s">
        <v>1149</v>
      </c>
    </row>
    <row r="292" spans="1:6" x14ac:dyDescent="0.2">
      <c r="A292" s="113" t="s">
        <v>1147</v>
      </c>
    </row>
    <row r="293" spans="1:6" x14ac:dyDescent="0.2">
      <c r="A293" s="3"/>
    </row>
    <row r="294" spans="1:6" x14ac:dyDescent="0.2">
      <c r="A294" s="3"/>
    </row>
    <row r="295" spans="1:6" x14ac:dyDescent="0.2">
      <c r="A295" s="3" t="s">
        <v>1157</v>
      </c>
    </row>
    <row r="296" spans="1:6" x14ac:dyDescent="0.2">
      <c r="A296" s="3" t="s">
        <v>1153</v>
      </c>
    </row>
    <row r="297" spans="1:6" x14ac:dyDescent="0.2">
      <c r="A297" s="3" t="s">
        <v>1156</v>
      </c>
    </row>
    <row r="298" spans="1:6" x14ac:dyDescent="0.2">
      <c r="A298" s="3" t="s">
        <v>1155</v>
      </c>
    </row>
    <row r="299" spans="1:6" x14ac:dyDescent="0.2">
      <c r="A299" s="3" t="s">
        <v>1154</v>
      </c>
    </row>
    <row r="301" spans="1:6" x14ac:dyDescent="0.2">
      <c r="A301" s="113" t="s">
        <v>1158</v>
      </c>
    </row>
    <row r="302" spans="1:6" x14ac:dyDescent="0.2">
      <c r="A302" s="113" t="s">
        <v>1159</v>
      </c>
      <c r="E302" s="23">
        <f>0.277513707713303+0.126392777117194*EXP(-G130/(-6.84564814481717))</f>
        <v>0.68427999644688331</v>
      </c>
      <c r="F302" t="s">
        <v>1160</v>
      </c>
    </row>
    <row r="306" spans="1:8" x14ac:dyDescent="0.2">
      <c r="A306" s="18"/>
      <c r="B306" s="18"/>
      <c r="C306" s="18"/>
      <c r="D306" s="18"/>
      <c r="E306" s="116"/>
      <c r="F306" s="18"/>
      <c r="G306" s="116"/>
      <c r="H306" s="18"/>
    </row>
    <row r="307" spans="1:8" x14ac:dyDescent="0.2">
      <c r="A307" s="18"/>
      <c r="B307" s="18"/>
      <c r="C307" s="18"/>
      <c r="D307" s="18"/>
      <c r="E307" s="18"/>
      <c r="F307" s="18"/>
      <c r="G307" s="18"/>
      <c r="H307" s="18"/>
    </row>
    <row r="308" spans="1:8" x14ac:dyDescent="0.2">
      <c r="A308" s="18"/>
      <c r="B308" s="18"/>
      <c r="C308" s="18"/>
      <c r="D308" s="18"/>
      <c r="E308" s="34"/>
      <c r="F308" s="18"/>
      <c r="G308" s="34"/>
      <c r="H308" s="18"/>
    </row>
    <row r="309" spans="1:8" x14ac:dyDescent="0.2">
      <c r="A309" s="18"/>
      <c r="B309" s="18"/>
      <c r="C309" s="18"/>
      <c r="D309" s="18"/>
      <c r="E309" s="18"/>
      <c r="F309" s="18"/>
      <c r="G309" s="18"/>
      <c r="H309" s="18"/>
    </row>
    <row r="310" spans="1:8" x14ac:dyDescent="0.2">
      <c r="A310" s="18"/>
      <c r="B310" s="18"/>
      <c r="C310" s="18"/>
      <c r="D310" s="18"/>
      <c r="E310" s="27"/>
      <c r="F310" s="18"/>
      <c r="G310" s="18"/>
      <c r="H310" s="18"/>
    </row>
    <row r="311" spans="1:8" x14ac:dyDescent="0.2">
      <c r="A311" s="18"/>
      <c r="B311" s="18"/>
      <c r="C311" s="18"/>
      <c r="D311" s="18"/>
      <c r="E311" s="18"/>
      <c r="F311" s="18"/>
      <c r="G311" s="18"/>
      <c r="H311" s="18"/>
    </row>
    <row r="312" spans="1:8" x14ac:dyDescent="0.2">
      <c r="A312" s="18"/>
      <c r="B312" s="18"/>
      <c r="C312" s="18"/>
      <c r="D312" s="18"/>
      <c r="E312" s="18"/>
      <c r="F312" s="18"/>
      <c r="G312" s="18"/>
      <c r="H312" s="18"/>
    </row>
    <row r="313" spans="1:8" x14ac:dyDescent="0.2">
      <c r="A313" s="18"/>
      <c r="B313" s="18"/>
      <c r="C313" s="18"/>
      <c r="D313" s="18"/>
      <c r="E313" s="116"/>
      <c r="F313" s="18"/>
      <c r="G313" s="86"/>
      <c r="H313" s="18"/>
    </row>
    <row r="314" spans="1:8" x14ac:dyDescent="0.2">
      <c r="A314" s="18"/>
      <c r="B314" s="18"/>
      <c r="C314" s="18"/>
      <c r="D314" s="18"/>
      <c r="E314" s="18"/>
      <c r="F314" s="18"/>
      <c r="G314" s="84"/>
      <c r="H314" s="18"/>
    </row>
    <row r="315" spans="1:8" x14ac:dyDescent="0.2">
      <c r="A315" s="18"/>
      <c r="B315" s="18"/>
      <c r="C315" s="18"/>
      <c r="D315" s="18"/>
      <c r="E315" s="18"/>
      <c r="F315" s="18"/>
      <c r="G315" s="18"/>
      <c r="H315" s="18"/>
    </row>
    <row r="316" spans="1:8" x14ac:dyDescent="0.2">
      <c r="A316" s="18"/>
      <c r="B316" s="18"/>
      <c r="C316" s="18"/>
      <c r="D316" s="18"/>
      <c r="E316" s="18"/>
      <c r="F316" s="18"/>
      <c r="G316" s="18"/>
      <c r="H316" s="18"/>
    </row>
    <row r="317" spans="1:8" x14ac:dyDescent="0.2">
      <c r="A317" s="18"/>
      <c r="B317" s="18"/>
      <c r="C317" s="18"/>
      <c r="D317" s="18"/>
      <c r="E317" s="18"/>
      <c r="F317" s="18"/>
      <c r="G317" s="18"/>
      <c r="H317" s="18"/>
    </row>
    <row r="318" spans="1:8" x14ac:dyDescent="0.2">
      <c r="A318" s="18"/>
      <c r="B318" s="18"/>
      <c r="C318" s="18"/>
      <c r="D318" s="18"/>
      <c r="E318" s="18"/>
      <c r="F318" s="18"/>
      <c r="G318" s="18"/>
      <c r="H318" s="18"/>
    </row>
    <row r="319" spans="1:8" x14ac:dyDescent="0.2">
      <c r="A319" s="18"/>
      <c r="B319" s="18"/>
      <c r="C319" s="18"/>
      <c r="D319" s="18"/>
      <c r="E319" s="18"/>
      <c r="F319" s="18"/>
      <c r="G319" s="18"/>
      <c r="H319" s="18"/>
    </row>
    <row r="320" spans="1:8" x14ac:dyDescent="0.2">
      <c r="A320" s="18"/>
      <c r="B320" s="18"/>
      <c r="C320" s="18"/>
      <c r="D320" s="18"/>
      <c r="E320" s="18"/>
      <c r="F320" s="18"/>
      <c r="G320" s="18"/>
      <c r="H320" s="18"/>
    </row>
  </sheetData>
  <phoneticPr fontId="0" type="noConversion"/>
  <pageMargins left="1.17" right="0.78740157499999996" top="0.43" bottom="0.62" header="0.28999999999999998" footer="0.37"/>
  <pageSetup paperSize="9" orientation="portrait" verticalDpi="0" r:id="rId1"/>
  <headerFooter alignWithMargins="0">
    <oddFooter>&amp;L&amp;F / &amp;A&amp;Cthis design: &amp;D&amp;Rprogram of: 26.10.2004 / K.Schraner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50"/>
  <sheetViews>
    <sheetView workbookViewId="0"/>
  </sheetViews>
  <sheetFormatPr baseColWidth="10" defaultRowHeight="12.75" x14ac:dyDescent="0.2"/>
  <cols>
    <col min="1" max="1" width="24.7109375" customWidth="1"/>
  </cols>
  <sheetData>
    <row r="1" spans="1:13" ht="26.25" x14ac:dyDescent="0.4">
      <c r="A1" s="312" t="s">
        <v>545</v>
      </c>
      <c r="B1" s="33"/>
      <c r="D1" s="242"/>
      <c r="E1" s="2"/>
      <c r="H1" t="s">
        <v>591</v>
      </c>
    </row>
    <row r="2" spans="1:13" x14ac:dyDescent="0.2">
      <c r="B2" s="33"/>
      <c r="D2" s="242"/>
      <c r="E2" s="2"/>
      <c r="F2">
        <v>1.1572907444622693</v>
      </c>
      <c r="G2" s="33">
        <v>1.0929064207356172</v>
      </c>
      <c r="K2">
        <v>0.86408709720101162</v>
      </c>
      <c r="L2">
        <v>0.91499142198004169</v>
      </c>
    </row>
    <row r="3" spans="1:13" x14ac:dyDescent="0.2">
      <c r="B3" t="s">
        <v>1021</v>
      </c>
      <c r="C3" s="286" t="s">
        <v>332</v>
      </c>
      <c r="D3" s="242"/>
      <c r="E3" s="2"/>
      <c r="F3">
        <f>F2*F2</f>
        <v>1.3393218672180336</v>
      </c>
      <c r="G3">
        <f>G2*G2</f>
        <v>1.1944444444851379</v>
      </c>
      <c r="K3">
        <f>1/K2</f>
        <v>1.1572907444622693</v>
      </c>
      <c r="L3">
        <f>1/L2</f>
        <v>1.0929064207356172</v>
      </c>
    </row>
    <row r="4" spans="1:13" x14ac:dyDescent="0.2">
      <c r="B4" s="33"/>
      <c r="D4" s="242"/>
      <c r="E4" s="2"/>
    </row>
    <row r="5" spans="1:13" x14ac:dyDescent="0.2">
      <c r="A5" s="40" t="s">
        <v>546</v>
      </c>
      <c r="B5" s="33"/>
      <c r="D5" s="242"/>
      <c r="E5" s="239" t="s">
        <v>547</v>
      </c>
      <c r="K5" s="40" t="s">
        <v>951</v>
      </c>
    </row>
    <row r="6" spans="1:13" x14ac:dyDescent="0.2">
      <c r="A6" t="s">
        <v>548</v>
      </c>
      <c r="B6" s="313">
        <f>H24</f>
        <v>2280</v>
      </c>
      <c r="C6" t="s">
        <v>341</v>
      </c>
      <c r="D6" s="242"/>
      <c r="E6" s="2"/>
      <c r="G6" s="33" t="s">
        <v>549</v>
      </c>
      <c r="H6" s="2" t="s">
        <v>550</v>
      </c>
      <c r="I6" s="2" t="s">
        <v>551</v>
      </c>
      <c r="J6" s="116"/>
    </row>
    <row r="7" spans="1:13" x14ac:dyDescent="0.2">
      <c r="A7" s="41" t="s">
        <v>552</v>
      </c>
      <c r="B7" s="314">
        <v>0.45500000000000002</v>
      </c>
      <c r="C7" t="s">
        <v>904</v>
      </c>
      <c r="D7" s="242"/>
      <c r="E7" s="2"/>
      <c r="G7" s="33" t="s">
        <v>553</v>
      </c>
      <c r="H7" s="10">
        <f>B7</f>
        <v>0.45500000000000002</v>
      </c>
      <c r="I7" s="10">
        <f>B7</f>
        <v>0.45500000000000002</v>
      </c>
      <c r="J7" s="41" t="s">
        <v>904</v>
      </c>
      <c r="K7" s="41" t="s">
        <v>955</v>
      </c>
    </row>
    <row r="8" spans="1:13" x14ac:dyDescent="0.2">
      <c r="A8" t="s">
        <v>554</v>
      </c>
      <c r="B8" s="314">
        <v>4.5578684792777976E-2</v>
      </c>
      <c r="C8" t="s">
        <v>904</v>
      </c>
      <c r="D8" s="242"/>
      <c r="E8" s="2"/>
      <c r="G8" s="33" t="s">
        <v>555</v>
      </c>
      <c r="H8" s="298">
        <f>B7-B8</f>
        <v>0.40942131520722203</v>
      </c>
      <c r="I8" s="298">
        <f>B7-B8</f>
        <v>0.40942131520722203</v>
      </c>
      <c r="J8" s="41" t="s">
        <v>904</v>
      </c>
      <c r="K8" s="41" t="s">
        <v>957</v>
      </c>
    </row>
    <row r="9" spans="1:13" x14ac:dyDescent="0.2">
      <c r="A9" t="s">
        <v>556</v>
      </c>
      <c r="B9" s="314">
        <v>85</v>
      </c>
      <c r="C9" t="s">
        <v>904</v>
      </c>
      <c r="D9" s="242"/>
      <c r="E9" s="2"/>
      <c r="G9" s="119" t="s">
        <v>811</v>
      </c>
      <c r="H9" s="315">
        <v>1.152413497784867</v>
      </c>
      <c r="I9" s="315">
        <v>1.0884114737752879</v>
      </c>
      <c r="J9" s="316" t="s">
        <v>557</v>
      </c>
      <c r="K9" t="s">
        <v>959</v>
      </c>
    </row>
    <row r="10" spans="1:13" x14ac:dyDescent="0.2">
      <c r="A10" t="s">
        <v>558</v>
      </c>
      <c r="B10" s="314">
        <v>172.2</v>
      </c>
      <c r="C10" t="s">
        <v>904</v>
      </c>
      <c r="D10" s="242"/>
      <c r="E10" s="2"/>
      <c r="G10" s="33" t="s">
        <v>812</v>
      </c>
      <c r="H10" s="317">
        <f>H7*H9</f>
        <v>0.52434814149211451</v>
      </c>
      <c r="I10" s="317">
        <f>I7*I9</f>
        <v>0.49522722056775603</v>
      </c>
      <c r="J10" s="316" t="s">
        <v>904</v>
      </c>
    </row>
    <row r="11" spans="1:13" x14ac:dyDescent="0.2">
      <c r="A11" t="s">
        <v>559</v>
      </c>
      <c r="B11" s="318">
        <f>B9/B10</f>
        <v>0.49361207897793269</v>
      </c>
      <c r="D11" s="242"/>
      <c r="E11" s="2"/>
      <c r="G11" s="33" t="s">
        <v>560</v>
      </c>
      <c r="H11" s="23">
        <f>($B$14-0.5*H10)/H10</f>
        <v>16.664168779904692</v>
      </c>
      <c r="I11" s="23">
        <f>($B$14)/I10</f>
        <v>18.173475984785124</v>
      </c>
      <c r="J11" s="241" t="s">
        <v>557</v>
      </c>
      <c r="K11" t="s">
        <v>561</v>
      </c>
    </row>
    <row r="12" spans="1:13" x14ac:dyDescent="0.2">
      <c r="B12" s="337"/>
      <c r="D12" s="242"/>
      <c r="E12" s="2"/>
      <c r="G12" s="33" t="s">
        <v>562</v>
      </c>
      <c r="H12" s="29">
        <f>0.866025*H10</f>
        <v>0.4540985992357085</v>
      </c>
      <c r="I12" s="23">
        <f>I10</f>
        <v>0.49522722056775603</v>
      </c>
      <c r="J12" s="35" t="s">
        <v>904</v>
      </c>
    </row>
    <row r="13" spans="1:13" ht="13.5" thickBot="1" x14ac:dyDescent="0.25">
      <c r="A13" t="s">
        <v>527</v>
      </c>
      <c r="B13" s="314">
        <v>26</v>
      </c>
      <c r="D13" s="242"/>
      <c r="E13" s="2"/>
      <c r="G13" s="33" t="s">
        <v>563</v>
      </c>
      <c r="H13" s="39">
        <f>0.5*($B$10-$B$9)/H12</f>
        <v>96.014389987951901</v>
      </c>
      <c r="I13" s="39">
        <f>0.5*($B$10-$B$9)/I12</f>
        <v>88.04039477073681</v>
      </c>
      <c r="J13" s="35" t="s">
        <v>557</v>
      </c>
    </row>
    <row r="14" spans="1:13" ht="13.5" thickBot="1" x14ac:dyDescent="0.25">
      <c r="A14" t="s">
        <v>564</v>
      </c>
      <c r="B14" s="314">
        <v>9</v>
      </c>
      <c r="C14" t="s">
        <v>565</v>
      </c>
      <c r="D14" s="242"/>
      <c r="E14" s="2"/>
      <c r="G14" s="33" t="s">
        <v>566</v>
      </c>
      <c r="H14" s="344">
        <f>H13*H11</f>
        <v>1600.0000000588218</v>
      </c>
      <c r="I14" s="345">
        <f>I13*I11</f>
        <v>1600.0000000569873</v>
      </c>
      <c r="J14" t="s">
        <v>557</v>
      </c>
      <c r="K14" t="s">
        <v>567</v>
      </c>
      <c r="L14">
        <f>(B9+B10)/(2*25.4)</f>
        <v>5.0629921259842519</v>
      </c>
      <c r="M14" t="s">
        <v>835</v>
      </c>
    </row>
    <row r="15" spans="1:13" x14ac:dyDescent="0.2">
      <c r="A15" t="s">
        <v>569</v>
      </c>
      <c r="B15" s="320">
        <f>H18/B13</f>
        <v>0.75996407417242984</v>
      </c>
      <c r="C15" t="s">
        <v>570</v>
      </c>
      <c r="D15" s="242"/>
      <c r="E15" s="2"/>
      <c r="G15" s="33" t="s">
        <v>571</v>
      </c>
      <c r="H15" s="321">
        <f>$B$13*H14</f>
        <v>41600.00000152937</v>
      </c>
      <c r="I15" s="321">
        <f>$B$13*I14</f>
        <v>41600.000001481669</v>
      </c>
      <c r="J15" t="s">
        <v>557</v>
      </c>
      <c r="K15" t="s">
        <v>572</v>
      </c>
      <c r="L15">
        <f>B14/25.4</f>
        <v>0.35433070866141736</v>
      </c>
      <c r="M15" t="s">
        <v>835</v>
      </c>
    </row>
    <row r="16" spans="1:13" x14ac:dyDescent="0.2">
      <c r="B16" s="33"/>
      <c r="D16" s="242"/>
      <c r="E16" s="2"/>
      <c r="G16" s="33" t="s">
        <v>573</v>
      </c>
      <c r="H16" s="331">
        <v>202.18716158344373</v>
      </c>
      <c r="I16" s="331">
        <v>202.18716158344373</v>
      </c>
      <c r="J16" t="s">
        <v>557</v>
      </c>
      <c r="K16" s="316" t="s">
        <v>574</v>
      </c>
      <c r="L16">
        <f>(B10-B9)/(2*25.4)</f>
        <v>1.716535433070866</v>
      </c>
      <c r="M16" t="s">
        <v>835</v>
      </c>
    </row>
    <row r="17" spans="1:13" x14ac:dyDescent="0.2">
      <c r="D17" s="242"/>
      <c r="E17" s="2"/>
      <c r="G17" s="33" t="s">
        <v>575</v>
      </c>
      <c r="H17" s="322">
        <f>0.0005*($B$10+$B$9)*PI()*H15</f>
        <v>16806.766715086411</v>
      </c>
      <c r="I17" s="322">
        <f>0.0005*($B$10+$B$9)*PI()*I15</f>
        <v>16806.76671506714</v>
      </c>
      <c r="J17" t="s">
        <v>980</v>
      </c>
      <c r="K17" s="35" t="s">
        <v>576</v>
      </c>
      <c r="L17" s="35">
        <f>I14</f>
        <v>1600.0000000569873</v>
      </c>
      <c r="M17" t="s">
        <v>557</v>
      </c>
    </row>
    <row r="18" spans="1:13" x14ac:dyDescent="0.2">
      <c r="D18" s="242"/>
      <c r="E18" s="2"/>
      <c r="G18" s="33" t="s">
        <v>577</v>
      </c>
      <c r="H18" s="264">
        <f>$B$19*(H17*10)*((H8)^2*PI()/40000)</f>
        <v>19.759065928483174</v>
      </c>
      <c r="I18" s="264">
        <f>$B$19*(I17*10)*((I8)^2*PI()/40000)</f>
        <v>19.759065928460522</v>
      </c>
      <c r="J18" t="s">
        <v>874</v>
      </c>
      <c r="K18" s="35"/>
    </row>
    <row r="19" spans="1:13" x14ac:dyDescent="0.2">
      <c r="A19" t="s">
        <v>578</v>
      </c>
      <c r="B19">
        <v>8.93</v>
      </c>
      <c r="C19" t="s">
        <v>1208</v>
      </c>
      <c r="D19" s="242"/>
      <c r="E19" s="2"/>
      <c r="G19" s="33" t="s">
        <v>579</v>
      </c>
      <c r="H19" s="319">
        <f>$B$20*H17/(H8*H8*PI()/4)</f>
        <v>2279.999999911377</v>
      </c>
      <c r="I19" s="319">
        <f>$B$20*I17/(I8*I8*PI()/4)</f>
        <v>2279.9999999087627</v>
      </c>
      <c r="J19" t="s">
        <v>341</v>
      </c>
      <c r="K19" t="s">
        <v>580</v>
      </c>
      <c r="L19">
        <f>(0.2*L14*L14*L17*L17)/(3*L14+9*L15+10*L16)</f>
        <v>369255.20954071026</v>
      </c>
      <c r="M19" t="s">
        <v>1072</v>
      </c>
    </row>
    <row r="20" spans="1:13" x14ac:dyDescent="0.2">
      <c r="A20" t="s">
        <v>581</v>
      </c>
      <c r="B20">
        <v>1.7860000000000001E-2</v>
      </c>
      <c r="C20" t="s">
        <v>1035</v>
      </c>
      <c r="D20" s="242"/>
      <c r="E20" s="2"/>
      <c r="G20" s="33" t="s">
        <v>582</v>
      </c>
      <c r="H20" s="264">
        <f>L20</f>
        <v>369.25520954071027</v>
      </c>
      <c r="I20" s="264">
        <f>L20</f>
        <v>369.25520954071027</v>
      </c>
      <c r="J20" t="s">
        <v>995</v>
      </c>
      <c r="K20" s="35" t="s">
        <v>583</v>
      </c>
      <c r="L20" s="322">
        <f>L19/1000</f>
        <v>369.25520954071027</v>
      </c>
      <c r="M20" t="s">
        <v>995</v>
      </c>
    </row>
    <row r="21" spans="1:13" x14ac:dyDescent="0.2">
      <c r="D21" s="242"/>
      <c r="E21" s="323" t="s">
        <v>584</v>
      </c>
      <c r="F21" s="324" t="s">
        <v>585</v>
      </c>
      <c r="H21" s="325">
        <v>0.86499999999999999</v>
      </c>
      <c r="I21" s="325">
        <v>0.86499999999999999</v>
      </c>
      <c r="J21" t="s">
        <v>874</v>
      </c>
    </row>
    <row r="22" spans="1:13" x14ac:dyDescent="0.2">
      <c r="D22" s="242"/>
      <c r="E22" s="2"/>
      <c r="F22" s="324" t="s">
        <v>586</v>
      </c>
      <c r="H22" s="325">
        <v>88</v>
      </c>
      <c r="I22" s="325">
        <v>88</v>
      </c>
      <c r="J22" t="s">
        <v>341</v>
      </c>
      <c r="K22" s="286" t="s">
        <v>587</v>
      </c>
    </row>
    <row r="23" spans="1:13" x14ac:dyDescent="0.2">
      <c r="D23" s="242"/>
      <c r="E23" s="2"/>
      <c r="F23" s="324" t="s">
        <v>588</v>
      </c>
      <c r="H23" s="325">
        <v>377</v>
      </c>
      <c r="I23" s="325">
        <v>377</v>
      </c>
      <c r="J23" t="s">
        <v>995</v>
      </c>
      <c r="L23" s="325">
        <v>377</v>
      </c>
      <c r="M23" t="s">
        <v>995</v>
      </c>
    </row>
    <row r="24" spans="1:13" x14ac:dyDescent="0.2">
      <c r="D24" s="242"/>
      <c r="E24" s="2"/>
      <c r="G24" s="333" t="s">
        <v>589</v>
      </c>
      <c r="H24" s="332">
        <v>2280</v>
      </c>
    </row>
    <row r="25" spans="1:13" x14ac:dyDescent="0.2">
      <c r="D25" s="242"/>
      <c r="E25" s="2"/>
      <c r="G25" s="33" t="s">
        <v>590</v>
      </c>
      <c r="H25" s="238">
        <f>(H20-H23)/H23</f>
        <v>-2.0543210767346769E-2</v>
      </c>
      <c r="I25" s="238">
        <f>(I20-I23)/I23</f>
        <v>-2.0543210767346769E-2</v>
      </c>
      <c r="L25" s="238">
        <f>(L20-I23)/I23</f>
        <v>-2.0543210767346769E-2</v>
      </c>
    </row>
    <row r="26" spans="1:13" x14ac:dyDescent="0.2">
      <c r="D26" s="242"/>
      <c r="E26" s="2"/>
    </row>
    <row r="27" spans="1:13" x14ac:dyDescent="0.2">
      <c r="A27" s="326"/>
      <c r="B27" s="3"/>
      <c r="D27" s="242"/>
      <c r="E27" s="2"/>
      <c r="G27" s="33"/>
    </row>
    <row r="28" spans="1:13" x14ac:dyDescent="0.2">
      <c r="A28" s="18"/>
      <c r="B28" s="116"/>
      <c r="C28" s="116"/>
      <c r="D28" s="283"/>
      <c r="E28" s="116"/>
      <c r="F28" s="116"/>
      <c r="G28" s="33"/>
      <c r="K28" s="86"/>
      <c r="L28" s="79"/>
      <c r="M28" s="79"/>
    </row>
    <row r="29" spans="1:13" x14ac:dyDescent="0.2">
      <c r="A29" s="80"/>
      <c r="B29" s="80"/>
      <c r="C29" s="80"/>
      <c r="D29" s="327"/>
      <c r="E29" s="80"/>
      <c r="F29" s="80"/>
      <c r="G29" s="80"/>
      <c r="H29" s="249"/>
      <c r="I29" s="80"/>
      <c r="K29" s="363"/>
      <c r="L29" s="364"/>
      <c r="M29" s="79"/>
    </row>
    <row r="30" spans="1:13" x14ac:dyDescent="0.2">
      <c r="A30" s="18"/>
      <c r="B30" s="116"/>
      <c r="C30" s="116"/>
      <c r="D30" s="283"/>
      <c r="E30" s="116"/>
      <c r="F30" s="116"/>
      <c r="G30" s="116"/>
      <c r="H30" s="2"/>
      <c r="I30" s="116"/>
      <c r="K30" s="86"/>
      <c r="L30" s="79"/>
      <c r="M30" s="79"/>
    </row>
    <row r="31" spans="1:13" x14ac:dyDescent="0.2">
      <c r="A31" s="328"/>
      <c r="B31" s="116"/>
      <c r="C31" s="116"/>
      <c r="D31" s="283"/>
      <c r="E31" s="116"/>
      <c r="F31" s="242"/>
      <c r="G31" s="242"/>
      <c r="H31" s="289"/>
      <c r="I31" s="116"/>
      <c r="K31" s="365"/>
      <c r="L31" s="79"/>
      <c r="M31" s="25"/>
    </row>
    <row r="32" spans="1:13" x14ac:dyDescent="0.2">
      <c r="A32" s="18"/>
      <c r="B32" s="116"/>
      <c r="C32" s="116"/>
      <c r="D32" s="283"/>
      <c r="E32" s="116"/>
      <c r="F32" s="242"/>
      <c r="G32" s="242"/>
      <c r="H32" s="289"/>
      <c r="I32" s="116"/>
      <c r="K32" s="86"/>
      <c r="L32" s="86"/>
      <c r="M32" s="79"/>
    </row>
    <row r="33" spans="1:13" x14ac:dyDescent="0.2">
      <c r="A33" s="18"/>
      <c r="B33" s="116"/>
      <c r="C33" s="116"/>
      <c r="D33" s="283"/>
      <c r="E33" s="116"/>
      <c r="F33" s="242"/>
      <c r="G33" s="242"/>
      <c r="H33" s="289"/>
      <c r="I33" s="116"/>
      <c r="K33" s="86"/>
      <c r="L33" s="86"/>
      <c r="M33" s="79"/>
    </row>
    <row r="34" spans="1:13" x14ac:dyDescent="0.2">
      <c r="A34" s="18"/>
      <c r="B34" s="116"/>
      <c r="C34" s="116"/>
      <c r="D34" s="283"/>
      <c r="E34" s="116"/>
      <c r="F34" s="242"/>
      <c r="G34" s="242"/>
      <c r="H34" s="289"/>
      <c r="I34" s="116"/>
      <c r="K34" s="86"/>
      <c r="L34" s="79"/>
      <c r="M34" s="25"/>
    </row>
    <row r="35" spans="1:13" x14ac:dyDescent="0.2">
      <c r="A35" s="18"/>
      <c r="B35" s="116"/>
      <c r="C35" s="116"/>
      <c r="D35" s="283"/>
      <c r="E35" s="116"/>
      <c r="F35" s="242"/>
      <c r="G35" s="242"/>
      <c r="H35" s="289"/>
      <c r="I35" s="116"/>
      <c r="K35" s="86"/>
      <c r="L35" s="79"/>
      <c r="M35" s="79"/>
    </row>
    <row r="36" spans="1:13" x14ac:dyDescent="0.2">
      <c r="A36" s="18"/>
      <c r="B36" s="116"/>
      <c r="C36" s="116"/>
      <c r="D36" s="283"/>
      <c r="E36" s="116"/>
      <c r="F36" s="242"/>
      <c r="G36" s="242"/>
      <c r="H36" s="289"/>
      <c r="I36" s="116"/>
      <c r="K36" s="365"/>
      <c r="L36" s="79"/>
      <c r="M36" s="25"/>
    </row>
    <row r="37" spans="1:13" x14ac:dyDescent="0.2">
      <c r="D37" s="242"/>
      <c r="E37" s="2"/>
    </row>
    <row r="38" spans="1:13" x14ac:dyDescent="0.2">
      <c r="D38" s="242"/>
      <c r="E38" s="2"/>
    </row>
    <row r="39" spans="1:13" x14ac:dyDescent="0.2">
      <c r="B39" s="3"/>
      <c r="D39" s="242"/>
      <c r="E39" s="2"/>
    </row>
    <row r="40" spans="1:13" x14ac:dyDescent="0.2">
      <c r="D40" s="242"/>
      <c r="E40" s="2"/>
    </row>
    <row r="41" spans="1:13" x14ac:dyDescent="0.2">
      <c r="B41" s="2"/>
      <c r="C41" s="2"/>
      <c r="D41" s="242"/>
      <c r="E41" s="2"/>
    </row>
    <row r="42" spans="1:13" x14ac:dyDescent="0.2">
      <c r="B42" s="2"/>
      <c r="C42" s="2"/>
      <c r="D42" s="329"/>
      <c r="E42" s="2"/>
    </row>
    <row r="43" spans="1:13" x14ac:dyDescent="0.2">
      <c r="B43" s="2"/>
      <c r="C43" s="2"/>
      <c r="D43" s="242"/>
      <c r="E43" s="2"/>
    </row>
    <row r="44" spans="1:13" x14ac:dyDescent="0.2">
      <c r="B44" s="2"/>
      <c r="C44" s="2"/>
      <c r="D44" s="330"/>
      <c r="E44" s="2"/>
    </row>
    <row r="45" spans="1:13" x14ac:dyDescent="0.2">
      <c r="B45" s="2"/>
      <c r="C45" s="2"/>
      <c r="D45" s="330"/>
      <c r="E45" s="2"/>
    </row>
    <row r="46" spans="1:13" x14ac:dyDescent="0.2">
      <c r="B46" s="2"/>
      <c r="C46" s="2"/>
      <c r="D46" s="330"/>
      <c r="E46" s="2"/>
    </row>
    <row r="47" spans="1:13" x14ac:dyDescent="0.2">
      <c r="B47" s="2"/>
      <c r="C47" s="2"/>
      <c r="D47" s="330"/>
      <c r="E47" s="2"/>
    </row>
    <row r="48" spans="1:13" x14ac:dyDescent="0.2">
      <c r="B48" s="2"/>
      <c r="C48" s="2"/>
      <c r="D48" s="242"/>
      <c r="E48" s="2"/>
    </row>
    <row r="49" spans="2:5" x14ac:dyDescent="0.2">
      <c r="B49" s="2"/>
      <c r="C49" s="2"/>
      <c r="D49" s="242"/>
      <c r="E49" s="2"/>
    </row>
    <row r="50" spans="2:5" x14ac:dyDescent="0.2">
      <c r="B50" s="2"/>
      <c r="C50" s="2"/>
      <c r="D50" s="242"/>
      <c r="E50" s="2"/>
    </row>
  </sheetData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AG254"/>
  <sheetViews>
    <sheetView workbookViewId="0"/>
  </sheetViews>
  <sheetFormatPr baseColWidth="10" defaultColWidth="9.140625" defaultRowHeight="12.75" x14ac:dyDescent="0.2"/>
  <cols>
    <col min="1" max="1" width="25.28515625" customWidth="1"/>
    <col min="2" max="2" width="11" customWidth="1"/>
    <col min="3" max="3" width="5" customWidth="1"/>
    <col min="4" max="4" width="20.5703125" customWidth="1"/>
    <col min="5" max="11" width="11.42578125" customWidth="1"/>
    <col min="12" max="14" width="9.140625" customWidth="1"/>
    <col min="15" max="15" width="12.42578125" bestFit="1" customWidth="1"/>
  </cols>
  <sheetData>
    <row r="1" spans="1:33" ht="20.25" x14ac:dyDescent="0.3">
      <c r="A1" s="46" t="s">
        <v>239</v>
      </c>
      <c r="J1" s="241"/>
      <c r="K1" s="241"/>
      <c r="L1" s="241"/>
      <c r="R1" s="237"/>
    </row>
    <row r="2" spans="1:33" ht="15" customHeight="1" x14ac:dyDescent="0.2">
      <c r="J2" s="241"/>
      <c r="L2" s="241"/>
      <c r="R2" s="254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33" x14ac:dyDescent="0.2">
      <c r="B3" s="33" t="s">
        <v>200</v>
      </c>
      <c r="E3" s="2" t="s">
        <v>199</v>
      </c>
      <c r="H3" t="s">
        <v>201</v>
      </c>
      <c r="L3" s="241"/>
    </row>
    <row r="4" spans="1:33" ht="15.75" customHeight="1" x14ac:dyDescent="0.2">
      <c r="A4" s="33" t="s">
        <v>202</v>
      </c>
      <c r="B4" s="17">
        <v>6</v>
      </c>
      <c r="C4" t="s">
        <v>837</v>
      </c>
      <c r="D4" s="33"/>
      <c r="E4" s="10">
        <f>B4</f>
        <v>6</v>
      </c>
      <c r="F4" t="s">
        <v>837</v>
      </c>
      <c r="H4" s="41" t="s">
        <v>727</v>
      </c>
      <c r="J4" s="10">
        <f>E24/E23</f>
        <v>6.7993179944285994E-3</v>
      </c>
      <c r="K4" t="s">
        <v>215</v>
      </c>
      <c r="L4" s="241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33" ht="15.75" customHeight="1" x14ac:dyDescent="0.35">
      <c r="A5" s="33" t="s">
        <v>353</v>
      </c>
      <c r="B5" s="17">
        <v>3.6</v>
      </c>
      <c r="C5" t="s">
        <v>895</v>
      </c>
      <c r="D5" s="41" t="s">
        <v>596</v>
      </c>
      <c r="E5" s="10">
        <f>B5</f>
        <v>3.6</v>
      </c>
      <c r="F5" t="s">
        <v>895</v>
      </c>
      <c r="I5" s="352" t="s">
        <v>725</v>
      </c>
      <c r="J5" s="19">
        <f>1000*J4</f>
        <v>6.7993179944285993</v>
      </c>
      <c r="K5" t="s">
        <v>726</v>
      </c>
      <c r="L5" s="241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</row>
    <row r="6" spans="1:33" ht="15.75" customHeight="1" x14ac:dyDescent="0.35">
      <c r="A6" s="33" t="s">
        <v>597</v>
      </c>
      <c r="B6" s="23">
        <f>B4/E23</f>
        <v>4.7656856341377658</v>
      </c>
      <c r="C6" t="s">
        <v>595</v>
      </c>
      <c r="D6" s="88" t="s">
        <v>722</v>
      </c>
      <c r="E6" s="23">
        <f>B6</f>
        <v>4.7656856341377658</v>
      </c>
      <c r="F6" t="s">
        <v>895</v>
      </c>
      <c r="H6" s="41" t="s">
        <v>354</v>
      </c>
      <c r="J6" s="19">
        <f>1000*((-LN(B33-B5)+LN(B33))*J4-((-LN(B33-B32)+LN(B33))*J4))</f>
        <v>9.5743370784279538</v>
      </c>
      <c r="K6" s="18" t="s">
        <v>130</v>
      </c>
      <c r="L6" s="241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</row>
    <row r="7" spans="1:33" ht="15.75" customHeight="1" x14ac:dyDescent="0.2">
      <c r="A7" s="33"/>
      <c r="B7" s="18"/>
      <c r="C7" s="18"/>
      <c r="D7" s="85"/>
      <c r="E7" s="18"/>
      <c r="L7" s="241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</row>
    <row r="8" spans="1:33" ht="15.75" customHeight="1" x14ac:dyDescent="0.3">
      <c r="A8" s="33" t="s">
        <v>365</v>
      </c>
      <c r="B8" s="17">
        <v>1.2090000000000001</v>
      </c>
      <c r="C8" t="s">
        <v>965</v>
      </c>
      <c r="E8" s="10">
        <f>B8</f>
        <v>1.2090000000000001</v>
      </c>
      <c r="F8" t="s">
        <v>965</v>
      </c>
      <c r="L8" s="241"/>
      <c r="R8" s="263" t="s">
        <v>601</v>
      </c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</row>
    <row r="9" spans="1:33" ht="15.75" customHeight="1" x14ac:dyDescent="0.3">
      <c r="A9" s="33" t="s">
        <v>366</v>
      </c>
      <c r="B9" s="17">
        <v>9.6</v>
      </c>
      <c r="C9" t="s">
        <v>995</v>
      </c>
      <c r="E9" s="10">
        <f>0.001*B9</f>
        <v>9.5999999999999992E-3</v>
      </c>
      <c r="F9" t="s">
        <v>898</v>
      </c>
      <c r="L9" s="241"/>
      <c r="R9" s="263" t="s">
        <v>602</v>
      </c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</row>
    <row r="10" spans="1:33" ht="15.75" customHeight="1" x14ac:dyDescent="0.3">
      <c r="A10" s="33" t="s">
        <v>367</v>
      </c>
      <c r="B10" s="17">
        <v>8.0229999999999997</v>
      </c>
      <c r="C10" t="s">
        <v>1160</v>
      </c>
      <c r="E10" s="257">
        <f>0.000001*B10</f>
        <v>8.0229999999999992E-6</v>
      </c>
      <c r="F10" t="s">
        <v>212</v>
      </c>
      <c r="L10" s="241"/>
      <c r="R10" s="339" t="s">
        <v>380</v>
      </c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</row>
    <row r="11" spans="1:33" ht="15.75" customHeight="1" x14ac:dyDescent="0.2">
      <c r="A11" s="33"/>
      <c r="B11" s="18"/>
      <c r="C11" s="18"/>
      <c r="E11" s="256"/>
      <c r="H11" s="237" t="s">
        <v>257</v>
      </c>
      <c r="L11" s="241"/>
      <c r="R11" s="340" t="s">
        <v>377</v>
      </c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</row>
    <row r="12" spans="1:33" ht="15.75" customHeight="1" x14ac:dyDescent="0.3">
      <c r="A12" s="33" t="s">
        <v>368</v>
      </c>
      <c r="B12" s="17">
        <v>2288</v>
      </c>
      <c r="C12" t="s">
        <v>965</v>
      </c>
      <c r="E12" s="10">
        <f>B12</f>
        <v>2288</v>
      </c>
      <c r="F12" t="s">
        <v>965</v>
      </c>
      <c r="H12" s="254" t="s">
        <v>243</v>
      </c>
      <c r="L12" s="253" t="s">
        <v>250</v>
      </c>
      <c r="R12" s="341" t="s">
        <v>845</v>
      </c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</row>
    <row r="13" spans="1:33" ht="15.75" customHeight="1" x14ac:dyDescent="0.3">
      <c r="A13" s="33" t="s">
        <v>369</v>
      </c>
      <c r="B13" s="17">
        <v>420</v>
      </c>
      <c r="C13" t="s">
        <v>898</v>
      </c>
      <c r="D13" s="85"/>
      <c r="E13" s="10">
        <f>B13</f>
        <v>420</v>
      </c>
      <c r="F13" t="s">
        <v>898</v>
      </c>
      <c r="H13" t="s">
        <v>269</v>
      </c>
      <c r="I13" s="260">
        <f>1/(2*PI()*SQRT(E9*(1-B21*B21)*E10))</f>
        <v>1742.6368095178927</v>
      </c>
      <c r="J13" t="s">
        <v>265</v>
      </c>
      <c r="L13" s="253" t="s">
        <v>255</v>
      </c>
      <c r="R13" s="342">
        <v>0.10168117593888058</v>
      </c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</row>
    <row r="14" spans="1:33" ht="15.75" customHeight="1" x14ac:dyDescent="0.3">
      <c r="A14" s="33" t="s">
        <v>370</v>
      </c>
      <c r="B14" s="17">
        <v>40</v>
      </c>
      <c r="C14" t="s">
        <v>260</v>
      </c>
      <c r="D14" s="85"/>
      <c r="E14" s="272">
        <f>B14*0.000000000001</f>
        <v>3.9999999999999998E-11</v>
      </c>
      <c r="F14" t="s">
        <v>212</v>
      </c>
      <c r="H14" t="s">
        <v>267</v>
      </c>
      <c r="I14" s="261">
        <f>1000/I13</f>
        <v>0.57384303748103072</v>
      </c>
      <c r="J14" t="s">
        <v>266</v>
      </c>
      <c r="L14" s="253" t="s">
        <v>251</v>
      </c>
      <c r="R14" s="342">
        <v>-0.10298422903794459</v>
      </c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</row>
    <row r="15" spans="1:33" ht="15.75" customHeight="1" x14ac:dyDescent="0.3">
      <c r="A15" s="33"/>
      <c r="B15" s="18"/>
      <c r="C15" s="18"/>
      <c r="D15" s="85"/>
      <c r="E15" s="31"/>
      <c r="H15" t="s">
        <v>362</v>
      </c>
      <c r="I15" s="271">
        <f>E9-I24</f>
        <v>1.0396560959999995E-3</v>
      </c>
      <c r="J15" t="s">
        <v>898</v>
      </c>
      <c r="L15" s="253" t="s">
        <v>254</v>
      </c>
      <c r="R15" s="342">
        <v>11.60983286832051</v>
      </c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</row>
    <row r="16" spans="1:33" ht="15.75" customHeight="1" x14ac:dyDescent="0.2">
      <c r="A16" s="33" t="s">
        <v>358</v>
      </c>
      <c r="B16" s="269">
        <v>0.8</v>
      </c>
      <c r="C16" t="s">
        <v>834</v>
      </c>
      <c r="D16" s="41" t="s">
        <v>724</v>
      </c>
      <c r="E16" s="29">
        <f>B16/100</f>
        <v>8.0000000000000002E-3</v>
      </c>
      <c r="F16" t="s">
        <v>980</v>
      </c>
      <c r="L16" s="253" t="s">
        <v>256</v>
      </c>
      <c r="R16" s="342">
        <v>2.2002776709666754E-2</v>
      </c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</row>
    <row r="17" spans="1:33" ht="15.75" customHeight="1" x14ac:dyDescent="0.3">
      <c r="A17" s="85" t="s">
        <v>359</v>
      </c>
      <c r="B17" s="270">
        <f>1000*($R$13+$R$15*B16+$R$17*B16^2+$R$19*B16^3+$R$21*B16^4+$R$23*B16^5)/(1+$R$14*B16+$R$16*B16^2+$R$18*B16^3+$R$20*B16^4+$R$22*B16^5)</f>
        <v>9392.9590053296179</v>
      </c>
      <c r="C17" t="s">
        <v>837</v>
      </c>
      <c r="D17" s="41" t="s">
        <v>723</v>
      </c>
      <c r="E17" s="16">
        <f>B17</f>
        <v>9392.9590053296179</v>
      </c>
      <c r="F17" t="s">
        <v>837</v>
      </c>
      <c r="H17" s="33" t="s">
        <v>364</v>
      </c>
      <c r="I17" s="29">
        <f>B21*B21*B12/($B$20*$B$20)</f>
        <v>5.0000374892657587E-2</v>
      </c>
      <c r="J17" t="s">
        <v>965</v>
      </c>
      <c r="L17" s="241"/>
      <c r="R17" s="342">
        <v>-1.1136954486547923</v>
      </c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</row>
    <row r="18" spans="1:33" ht="15.75" customHeight="1" x14ac:dyDescent="0.3">
      <c r="A18" s="85" t="s">
        <v>360</v>
      </c>
      <c r="B18" s="17">
        <v>50</v>
      </c>
      <c r="C18" t="s">
        <v>361</v>
      </c>
      <c r="D18" s="33"/>
      <c r="E18" s="29">
        <f>1000*B18</f>
        <v>50000</v>
      </c>
      <c r="F18" t="s">
        <v>965</v>
      </c>
      <c r="H18" s="33" t="s">
        <v>363</v>
      </c>
      <c r="I18" s="10">
        <f>B21*B21*E18/(B20*B20)</f>
        <v>1.092665535241643</v>
      </c>
      <c r="J18" t="s">
        <v>965</v>
      </c>
      <c r="L18" s="241"/>
      <c r="R18" s="342">
        <v>-1.3154143255757434E-3</v>
      </c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</row>
    <row r="19" spans="1:33" ht="15.75" customHeight="1" x14ac:dyDescent="0.2">
      <c r="A19" s="33"/>
      <c r="B19" s="18"/>
      <c r="C19" s="18"/>
      <c r="D19" s="85"/>
      <c r="E19" s="255"/>
      <c r="L19" s="241"/>
      <c r="R19" s="342">
        <v>0.13947545251861668</v>
      </c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</row>
    <row r="20" spans="1:33" ht="15.75" customHeight="1" x14ac:dyDescent="0.3">
      <c r="A20" s="33" t="s">
        <v>261</v>
      </c>
      <c r="B20" s="17">
        <v>202</v>
      </c>
      <c r="C20" s="18" t="s">
        <v>721</v>
      </c>
      <c r="D20" s="85"/>
      <c r="E20" s="273" t="s">
        <v>378</v>
      </c>
      <c r="F20" s="273" t="s">
        <v>378</v>
      </c>
      <c r="H20" s="237" t="s">
        <v>258</v>
      </c>
      <c r="L20" s="241"/>
      <c r="R20" s="342">
        <v>2.2555679105447939E-5</v>
      </c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</row>
    <row r="21" spans="1:33" ht="15.75" customHeight="1" x14ac:dyDescent="0.3">
      <c r="A21" s="33" t="s">
        <v>262</v>
      </c>
      <c r="B21" s="17">
        <v>0.94430000000000003</v>
      </c>
      <c r="C21" s="18"/>
      <c r="D21" s="85"/>
      <c r="E21" s="273" t="s">
        <v>377</v>
      </c>
      <c r="F21" s="273" t="s">
        <v>377</v>
      </c>
      <c r="H21" s="254" t="s">
        <v>244</v>
      </c>
      <c r="L21" s="253" t="s">
        <v>250</v>
      </c>
      <c r="R21" s="342">
        <v>-7.5887149573464346E-3</v>
      </c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</row>
    <row r="22" spans="1:33" ht="15.75" customHeight="1" x14ac:dyDescent="0.3">
      <c r="E22" s="275" t="s">
        <v>383</v>
      </c>
      <c r="F22" s="275" t="s">
        <v>384</v>
      </c>
      <c r="H22" s="41" t="s">
        <v>270</v>
      </c>
      <c r="I22" s="260">
        <f>1/(2*PI()*SQRT(I24*(I25)))</f>
        <v>548.00153021312951</v>
      </c>
      <c r="J22" t="s">
        <v>265</v>
      </c>
      <c r="L22" s="253" t="s">
        <v>251</v>
      </c>
      <c r="R22" s="342">
        <v>9.0100227568697605E-9</v>
      </c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</row>
    <row r="23" spans="1:33" ht="15.75" customHeight="1" x14ac:dyDescent="0.3">
      <c r="A23" s="33" t="s">
        <v>206</v>
      </c>
      <c r="B23" s="19">
        <f>B8+I17</f>
        <v>1.2590003748926577</v>
      </c>
      <c r="C23" t="s">
        <v>965</v>
      </c>
      <c r="D23" s="33" t="s">
        <v>206</v>
      </c>
      <c r="E23" s="10">
        <f>B23</f>
        <v>1.2590003748926577</v>
      </c>
      <c r="F23" s="10">
        <f>E23+I18</f>
        <v>2.3516659101343009</v>
      </c>
      <c r="G23" t="s">
        <v>965</v>
      </c>
      <c r="H23" t="s">
        <v>267</v>
      </c>
      <c r="I23" s="100">
        <f>1000/I22</f>
        <v>1.8248124227154596</v>
      </c>
      <c r="J23" t="s">
        <v>266</v>
      </c>
      <c r="L23" s="253" t="s">
        <v>245</v>
      </c>
      <c r="R23" s="343">
        <v>1.2967836582075207E-4</v>
      </c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</row>
    <row r="24" spans="1:33" ht="15.75" customHeight="1" x14ac:dyDescent="0.3">
      <c r="A24" s="33" t="s">
        <v>209</v>
      </c>
      <c r="B24" s="19">
        <f>1000*E24</f>
        <v>8.5603439039999998</v>
      </c>
      <c r="C24" t="s">
        <v>995</v>
      </c>
      <c r="D24" s="33" t="s">
        <v>209</v>
      </c>
      <c r="E24" s="10">
        <f>I24</f>
        <v>8.5603439039999996E-3</v>
      </c>
      <c r="F24" s="10">
        <f>I15</f>
        <v>1.0396560959999995E-3</v>
      </c>
      <c r="G24" t="s">
        <v>898</v>
      </c>
      <c r="H24" t="s">
        <v>268</v>
      </c>
      <c r="I24" s="262">
        <f>$B$21*$B$21*E9</f>
        <v>8.5603439039999996E-3</v>
      </c>
      <c r="J24" t="s">
        <v>898</v>
      </c>
      <c r="L24" s="253" t="s">
        <v>246</v>
      </c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</row>
    <row r="25" spans="1:33" ht="15.75" customHeight="1" x14ac:dyDescent="0.3">
      <c r="A25" s="33" t="s">
        <v>211</v>
      </c>
      <c r="B25" s="19">
        <f>E25*1000000</f>
        <v>9.8533862760324915</v>
      </c>
      <c r="C25" t="s">
        <v>1160</v>
      </c>
      <c r="D25" s="33" t="s">
        <v>211</v>
      </c>
      <c r="E25" s="257">
        <f>I25</f>
        <v>9.8533862760324906E-6</v>
      </c>
      <c r="F25" s="10">
        <f>B10*0.000001</f>
        <v>8.0229999999999992E-6</v>
      </c>
      <c r="G25" t="s">
        <v>212</v>
      </c>
      <c r="H25" s="33" t="s">
        <v>352</v>
      </c>
      <c r="I25" s="262">
        <f>(E10+B14*($B$20*$B$20)*0.000000000001/($B$21*$B$21))</f>
        <v>9.8533862760324906E-6</v>
      </c>
      <c r="J25" t="s">
        <v>212</v>
      </c>
      <c r="L25" s="253" t="s">
        <v>252</v>
      </c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</row>
    <row r="26" spans="1:33" ht="15.75" customHeight="1" x14ac:dyDescent="0.3">
      <c r="A26" s="33"/>
      <c r="B26" s="18"/>
      <c r="C26" s="18"/>
      <c r="D26" s="85"/>
      <c r="E26" s="255"/>
      <c r="L26" s="253" t="s">
        <v>247</v>
      </c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</row>
    <row r="27" spans="1:33" ht="15.75" customHeight="1" x14ac:dyDescent="0.3">
      <c r="A27" s="33"/>
      <c r="B27" s="18"/>
      <c r="C27" s="18"/>
      <c r="D27" s="85"/>
      <c r="E27" s="255"/>
      <c r="L27" s="253" t="s">
        <v>253</v>
      </c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</row>
    <row r="28" spans="1:33" ht="15.75" customHeight="1" x14ac:dyDescent="0.3">
      <c r="A28" s="33"/>
      <c r="B28" s="18"/>
      <c r="C28" s="18"/>
      <c r="D28" s="116" t="s">
        <v>356</v>
      </c>
      <c r="E28" s="116" t="s">
        <v>357</v>
      </c>
      <c r="L28" s="253" t="s">
        <v>248</v>
      </c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</row>
    <row r="29" spans="1:33" ht="15.75" customHeight="1" x14ac:dyDescent="0.2">
      <c r="A29" s="33"/>
      <c r="B29" s="18"/>
      <c r="C29" s="18"/>
      <c r="D29" s="85"/>
      <c r="E29" s="255"/>
      <c r="L29" s="253" t="s">
        <v>249</v>
      </c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</row>
    <row r="30" spans="1:33" ht="15.75" customHeight="1" x14ac:dyDescent="0.2">
      <c r="A30" s="33"/>
      <c r="B30" s="18"/>
      <c r="C30" s="18"/>
      <c r="D30" s="85"/>
      <c r="E30" s="255"/>
      <c r="K30" s="241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</row>
    <row r="31" spans="1:33" ht="15.75" customHeight="1" x14ac:dyDescent="0.3">
      <c r="E31" t="s">
        <v>376</v>
      </c>
      <c r="I31" s="241"/>
      <c r="K31" s="241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</row>
    <row r="32" spans="1:33" ht="15.75" customHeight="1" x14ac:dyDescent="0.35">
      <c r="A32" s="33" t="s">
        <v>241</v>
      </c>
      <c r="B32" s="17">
        <v>0</v>
      </c>
      <c r="I32" s="258" t="s">
        <v>600</v>
      </c>
      <c r="J32" s="10"/>
      <c r="K32" s="241"/>
    </row>
    <row r="33" spans="1:33" ht="21" x14ac:dyDescent="0.35">
      <c r="A33" s="33" t="s">
        <v>598</v>
      </c>
      <c r="B33" s="23">
        <f>B6</f>
        <v>4.7656856341377658</v>
      </c>
      <c r="C33" t="s">
        <v>895</v>
      </c>
      <c r="H33" s="249" t="s">
        <v>233</v>
      </c>
      <c r="I33" s="259" t="s">
        <v>878</v>
      </c>
      <c r="J33" s="250" t="s">
        <v>234</v>
      </c>
      <c r="K33" s="250" t="s">
        <v>235</v>
      </c>
      <c r="P33" s="249" t="s">
        <v>233</v>
      </c>
      <c r="Q33" s="250" t="s">
        <v>878</v>
      </c>
      <c r="R33" s="250" t="s">
        <v>234</v>
      </c>
      <c r="S33" s="250" t="s">
        <v>235</v>
      </c>
      <c r="T33" s="250" t="s">
        <v>686</v>
      </c>
    </row>
    <row r="34" spans="1:33" ht="15.75" customHeight="1" x14ac:dyDescent="0.3">
      <c r="A34" s="33" t="s">
        <v>355</v>
      </c>
      <c r="B34" s="274">
        <f>0.001*J6/26</f>
        <v>3.6824373378569055E-4</v>
      </c>
      <c r="C34" t="s">
        <v>215</v>
      </c>
      <c r="D34" s="2" t="s">
        <v>371</v>
      </c>
      <c r="E34" t="s">
        <v>372</v>
      </c>
      <c r="H34" s="2" t="s">
        <v>236</v>
      </c>
      <c r="I34" s="242" t="s">
        <v>237</v>
      </c>
      <c r="J34" s="242" t="s">
        <v>238</v>
      </c>
      <c r="K34" s="242" t="s">
        <v>238</v>
      </c>
      <c r="P34" s="2" t="s">
        <v>242</v>
      </c>
      <c r="Q34" s="242" t="s">
        <v>237</v>
      </c>
      <c r="R34" s="242" t="s">
        <v>238</v>
      </c>
      <c r="S34" s="242" t="s">
        <v>238</v>
      </c>
    </row>
    <row r="35" spans="1:33" ht="15.75" customHeight="1" x14ac:dyDescent="0.2">
      <c r="A35" s="33" t="s">
        <v>264</v>
      </c>
      <c r="B35" s="268">
        <f>B34/J4</f>
        <v>5.4158922128282806E-2</v>
      </c>
      <c r="H35" s="2">
        <v>0</v>
      </c>
      <c r="I35" s="241">
        <f>B32</f>
        <v>0</v>
      </c>
      <c r="J35" s="241">
        <f t="shared" ref="J35:J61" si="0">$E$68-I35*$E$69</f>
        <v>6</v>
      </c>
      <c r="K35" s="241">
        <f>E$68*(1-EXP(-J$68*H35)*(COS(J$76*H35)+(J$68/J$76)*SIN(H35*J$76)))+B$74*SQRT(E$70/E$71)*EXP(-H35*J$68)*SIN(J$76*H35)</f>
        <v>0</v>
      </c>
      <c r="P35">
        <f t="shared" ref="P35:P61" si="1">H35*1000</f>
        <v>0</v>
      </c>
      <c r="Q35">
        <f t="shared" ref="Q35:Q61" si="2">I35</f>
        <v>0</v>
      </c>
      <c r="R35">
        <f t="shared" ref="R35:R61" si="3">10*J35</f>
        <v>60</v>
      </c>
      <c r="S35">
        <f t="shared" ref="S35:S61" si="4">K35</f>
        <v>0</v>
      </c>
      <c r="T35" s="81">
        <v>0</v>
      </c>
    </row>
    <row r="36" spans="1:33" ht="15.75" customHeight="1" x14ac:dyDescent="0.2">
      <c r="E36" s="33" t="s">
        <v>259</v>
      </c>
      <c r="H36" s="2">
        <f>H35+$B$34</f>
        <v>3.6824373378569055E-4</v>
      </c>
      <c r="I36" s="241">
        <f t="shared" ref="I36:I61" si="5">($B$33-$I$35)*(1-EXP(-H36/$J$4))+$I$35</f>
        <v>0.25123955725181407</v>
      </c>
      <c r="J36" s="241">
        <f t="shared" si="0"/>
        <v>5.683689303232101</v>
      </c>
      <c r="K36" s="241"/>
      <c r="P36">
        <f t="shared" si="1"/>
        <v>0.36824373378569053</v>
      </c>
      <c r="Q36">
        <f t="shared" si="2"/>
        <v>0.25123955725181407</v>
      </c>
      <c r="R36">
        <f t="shared" si="3"/>
        <v>56.836893032321008</v>
      </c>
      <c r="S36">
        <f t="shared" si="4"/>
        <v>0</v>
      </c>
      <c r="T36" s="245">
        <f>(0.5*(Q35+Q36))^2*0.001*(P36-P35)</f>
        <v>5.8110071910575401E-6</v>
      </c>
    </row>
    <row r="37" spans="1:33" ht="12.75" customHeight="1" x14ac:dyDescent="0.2">
      <c r="H37" s="2">
        <f>H36+$B$34</f>
        <v>7.3648746757138111E-4</v>
      </c>
      <c r="I37" s="241">
        <f t="shared" si="5"/>
        <v>0.48923415460196462</v>
      </c>
      <c r="J37" s="241">
        <f t="shared" si="0"/>
        <v>5.3840540159458339</v>
      </c>
      <c r="K37" s="241"/>
      <c r="P37">
        <f t="shared" si="1"/>
        <v>0.73648746757138106</v>
      </c>
      <c r="Q37">
        <f t="shared" si="2"/>
        <v>0.48923415460196462</v>
      </c>
      <c r="R37">
        <f t="shared" si="3"/>
        <v>53.840540159458342</v>
      </c>
      <c r="S37">
        <f t="shared" si="4"/>
        <v>0</v>
      </c>
      <c r="T37" s="245">
        <f t="shared" ref="T37:T100" si="6">(0.5*(Q36+Q37))^2*0.001*(P37-P36)</f>
        <v>5.047713114005974E-5</v>
      </c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</row>
    <row r="38" spans="1:33" ht="12.75" customHeight="1" x14ac:dyDescent="0.2">
      <c r="H38" s="2">
        <f>H37+$B$34</f>
        <v>1.1047312013570717E-3</v>
      </c>
      <c r="I38" s="241">
        <f t="shared" si="5"/>
        <v>0.71468204579964489</v>
      </c>
      <c r="J38" s="241">
        <f t="shared" si="0"/>
        <v>5.1002150364091952</v>
      </c>
      <c r="K38" s="241"/>
      <c r="P38">
        <f t="shared" si="1"/>
        <v>1.1047312013570718</v>
      </c>
      <c r="Q38">
        <f t="shared" si="2"/>
        <v>0.71468204579964489</v>
      </c>
      <c r="R38">
        <f t="shared" si="3"/>
        <v>51.002150364091953</v>
      </c>
      <c r="S38">
        <f t="shared" si="4"/>
        <v>0</v>
      </c>
      <c r="T38" s="245">
        <f t="shared" si="6"/>
        <v>1.3343442582180103E-4</v>
      </c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</row>
    <row r="39" spans="1:33" ht="15.75" x14ac:dyDescent="0.3">
      <c r="D39" s="2" t="s">
        <v>373</v>
      </c>
      <c r="E39" t="s">
        <v>374</v>
      </c>
      <c r="H39" s="2">
        <f t="shared" ref="H39:H46" si="7">H38+$B$34</f>
        <v>1.4729749351427622E-3</v>
      </c>
      <c r="I39" s="241">
        <f t="shared" si="5"/>
        <v>0.92824467373905983</v>
      </c>
      <c r="J39" s="241">
        <f t="shared" si="0"/>
        <v>4.8313396077704107</v>
      </c>
      <c r="K39" s="241"/>
      <c r="P39">
        <f t="shared" si="1"/>
        <v>1.4729749351427621</v>
      </c>
      <c r="Q39">
        <f t="shared" si="2"/>
        <v>0.92824467373905983</v>
      </c>
      <c r="R39">
        <f t="shared" si="3"/>
        <v>48.313396077704105</v>
      </c>
      <c r="S39">
        <f t="shared" si="4"/>
        <v>0</v>
      </c>
      <c r="T39" s="245">
        <f t="shared" si="6"/>
        <v>2.4849162698981726E-4</v>
      </c>
    </row>
    <row r="40" spans="1:33" ht="12.75" customHeight="1" x14ac:dyDescent="0.3">
      <c r="F40" s="2" t="s">
        <v>375</v>
      </c>
      <c r="H40" s="2">
        <f t="shared" si="7"/>
        <v>1.8412186689284527E-3</v>
      </c>
      <c r="I40" s="241">
        <f t="shared" si="5"/>
        <v>1.1305486110706249</v>
      </c>
      <c r="J40" s="241">
        <f t="shared" si="0"/>
        <v>4.5766388748277098</v>
      </c>
      <c r="K40" s="241"/>
      <c r="P40">
        <f t="shared" si="1"/>
        <v>1.8412186689284527</v>
      </c>
      <c r="Q40">
        <f t="shared" si="2"/>
        <v>1.1305486110706249</v>
      </c>
      <c r="R40">
        <f t="shared" si="3"/>
        <v>45.766388748277095</v>
      </c>
      <c r="S40">
        <f t="shared" si="4"/>
        <v>0</v>
      </c>
      <c r="T40" s="245">
        <f t="shared" si="6"/>
        <v>3.9021221496231414E-4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</row>
    <row r="41" spans="1:33" x14ac:dyDescent="0.2">
      <c r="H41" s="2">
        <f t="shared" si="7"/>
        <v>2.2094624027141434E-3</v>
      </c>
      <c r="I41" s="241">
        <f t="shared" si="5"/>
        <v>1.3221873985061507</v>
      </c>
      <c r="J41" s="241">
        <f t="shared" si="0"/>
        <v>4.3353655696024083</v>
      </c>
      <c r="K41" s="241"/>
      <c r="P41">
        <f t="shared" si="1"/>
        <v>2.2094624027141436</v>
      </c>
      <c r="Q41">
        <f t="shared" si="2"/>
        <v>1.3221873985061507</v>
      </c>
      <c r="R41">
        <f t="shared" si="3"/>
        <v>43.353655696024084</v>
      </c>
      <c r="S41">
        <f t="shared" si="4"/>
        <v>0</v>
      </c>
      <c r="T41" s="245">
        <f t="shared" si="6"/>
        <v>5.5383065217536412E-4</v>
      </c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</row>
    <row r="42" spans="1:33" x14ac:dyDescent="0.2">
      <c r="H42" s="2">
        <f t="shared" si="7"/>
        <v>2.5777061364998339E-3</v>
      </c>
      <c r="I42" s="241">
        <f t="shared" si="5"/>
        <v>1.5037232862114287</v>
      </c>
      <c r="J42" s="241">
        <f t="shared" si="0"/>
        <v>4.1068118189249923</v>
      </c>
      <c r="K42" s="241"/>
      <c r="P42">
        <f t="shared" si="1"/>
        <v>2.5777061364998337</v>
      </c>
      <c r="Q42">
        <f t="shared" si="2"/>
        <v>1.5037232862114287</v>
      </c>
      <c r="R42">
        <f t="shared" si="3"/>
        <v>41.068118189249923</v>
      </c>
      <c r="S42">
        <f t="shared" si="4"/>
        <v>0</v>
      </c>
      <c r="T42" s="245">
        <f t="shared" si="6"/>
        <v>7.3517755077752596E-4</v>
      </c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</row>
    <row r="43" spans="1:33" x14ac:dyDescent="0.2">
      <c r="H43" s="2">
        <f t="shared" si="7"/>
        <v>2.9459498702855244E-3</v>
      </c>
      <c r="I43" s="241">
        <f t="shared" si="5"/>
        <v>1.6756888833953005</v>
      </c>
      <c r="J43" s="241">
        <f t="shared" si="0"/>
        <v>3.8903070676018578</v>
      </c>
      <c r="K43" s="241"/>
      <c r="P43">
        <f t="shared" si="1"/>
        <v>2.9459498702855242</v>
      </c>
      <c r="Q43">
        <f t="shared" si="2"/>
        <v>1.6756888833953005</v>
      </c>
      <c r="R43">
        <f t="shared" si="3"/>
        <v>38.903070676018579</v>
      </c>
      <c r="S43">
        <f t="shared" si="4"/>
        <v>0</v>
      </c>
      <c r="T43" s="245">
        <f t="shared" si="6"/>
        <v>9.3061283606918734E-4</v>
      </c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</row>
    <row r="44" spans="1:33" x14ac:dyDescent="0.2">
      <c r="H44" s="2">
        <f t="shared" si="7"/>
        <v>3.3141936040712149E-3</v>
      </c>
      <c r="I44" s="241">
        <f t="shared" si="5"/>
        <v>1.8385887209349498</v>
      </c>
      <c r="J44" s="241">
        <f t="shared" si="0"/>
        <v>3.6852161110694861</v>
      </c>
      <c r="K44" s="241"/>
      <c r="P44">
        <f t="shared" si="1"/>
        <v>3.3141936040712148</v>
      </c>
      <c r="Q44">
        <f t="shared" si="2"/>
        <v>1.8385887209349498</v>
      </c>
      <c r="R44">
        <f t="shared" si="3"/>
        <v>36.852161110694858</v>
      </c>
      <c r="S44">
        <f t="shared" si="4"/>
        <v>0</v>
      </c>
      <c r="T44" s="245">
        <f t="shared" si="6"/>
        <v>1.1369660684127684E-3</v>
      </c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</row>
    <row r="45" spans="1:33" x14ac:dyDescent="0.2">
      <c r="H45" s="2">
        <f t="shared" si="7"/>
        <v>3.6824373378569054E-3</v>
      </c>
      <c r="I45" s="241">
        <f t="shared" si="5"/>
        <v>1.992900731622008</v>
      </c>
      <c r="J45" s="241">
        <f t="shared" si="0"/>
        <v>3.4909372317640401</v>
      </c>
      <c r="K45" s="241"/>
      <c r="P45">
        <f t="shared" si="1"/>
        <v>3.6824373378569053</v>
      </c>
      <c r="Q45">
        <f t="shared" si="2"/>
        <v>1.992900731622008</v>
      </c>
      <c r="R45">
        <f t="shared" si="3"/>
        <v>34.909372317640404</v>
      </c>
      <c r="S45">
        <f t="shared" si="4"/>
        <v>0</v>
      </c>
      <c r="T45" s="245">
        <f t="shared" si="6"/>
        <v>1.351483173074766E-3</v>
      </c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</row>
    <row r="46" spans="1:33" x14ac:dyDescent="0.2">
      <c r="H46" s="2">
        <f t="shared" si="7"/>
        <v>4.0506810716425959E-3</v>
      </c>
      <c r="I46" s="241">
        <f t="shared" si="5"/>
        <v>2.1390776523723862</v>
      </c>
      <c r="J46" s="241">
        <f t="shared" si="0"/>
        <v>3.3069004337386598</v>
      </c>
      <c r="K46" s="241"/>
      <c r="P46">
        <f t="shared" si="1"/>
        <v>4.0506810716425958</v>
      </c>
      <c r="Q46">
        <f t="shared" si="2"/>
        <v>2.1390776523723862</v>
      </c>
      <c r="R46">
        <f t="shared" si="3"/>
        <v>33.069004337386602</v>
      </c>
      <c r="S46">
        <f t="shared" si="4"/>
        <v>0</v>
      </c>
      <c r="T46" s="245">
        <f t="shared" si="6"/>
        <v>1.5717789053350741E-3</v>
      </c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</row>
    <row r="47" spans="1:33" x14ac:dyDescent="0.2">
      <c r="H47" s="2">
        <f t="shared" ref="H47:H61" si="8">H46+$B$34</f>
        <v>4.4189248054282869E-3</v>
      </c>
      <c r="I47" s="241">
        <f t="shared" si="5"/>
        <v>2.277548352513775</v>
      </c>
      <c r="J47" s="241">
        <f t="shared" si="0"/>
        <v>3.1325657703490024</v>
      </c>
      <c r="K47" s="241"/>
      <c r="P47">
        <f t="shared" si="1"/>
        <v>4.4189248054282873</v>
      </c>
      <c r="Q47">
        <f t="shared" si="2"/>
        <v>2.277548352513775</v>
      </c>
      <c r="R47">
        <f t="shared" si="3"/>
        <v>31.325657703490023</v>
      </c>
      <c r="S47">
        <f t="shared" si="4"/>
        <v>0</v>
      </c>
      <c r="T47" s="245">
        <f t="shared" si="6"/>
        <v>1.795794448035638E-3</v>
      </c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</row>
    <row r="48" spans="1:33" x14ac:dyDescent="0.2">
      <c r="H48" s="2">
        <f t="shared" si="8"/>
        <v>4.7871685392139778E-3</v>
      </c>
      <c r="I48" s="241">
        <f t="shared" si="5"/>
        <v>2.4087190920478871</v>
      </c>
      <c r="J48" s="241">
        <f t="shared" si="0"/>
        <v>2.9674217601006081</v>
      </c>
      <c r="K48" s="241"/>
      <c r="P48">
        <f t="shared" si="1"/>
        <v>4.7871685392139778</v>
      </c>
      <c r="Q48">
        <f t="shared" si="2"/>
        <v>2.4087190920478871</v>
      </c>
      <c r="R48">
        <f t="shared" si="3"/>
        <v>29.674217601006081</v>
      </c>
      <c r="S48">
        <f t="shared" si="4"/>
        <v>0</v>
      </c>
      <c r="T48" s="245">
        <f t="shared" si="6"/>
        <v>2.0217596013665223E-3</v>
      </c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</row>
    <row r="49" spans="8:21" x14ac:dyDescent="0.2">
      <c r="H49" s="2">
        <f t="shared" si="8"/>
        <v>5.1554122729996687E-3</v>
      </c>
      <c r="I49" s="241">
        <f t="shared" si="5"/>
        <v>2.5329747135790663</v>
      </c>
      <c r="J49" s="241">
        <f t="shared" si="0"/>
        <v>2.8109838860103333</v>
      </c>
      <c r="K49" s="241"/>
      <c r="P49">
        <f t="shared" si="1"/>
        <v>5.1554122729996683</v>
      </c>
      <c r="Q49">
        <f t="shared" si="2"/>
        <v>2.5329747135790663</v>
      </c>
      <c r="R49">
        <f t="shared" si="3"/>
        <v>28.109838860103334</v>
      </c>
      <c r="S49">
        <f t="shared" si="4"/>
        <v>0</v>
      </c>
      <c r="T49" s="245">
        <f t="shared" si="6"/>
        <v>2.2481590808455564E-3</v>
      </c>
    </row>
    <row r="50" spans="8:21" x14ac:dyDescent="0.2">
      <c r="H50" s="2">
        <f t="shared" si="8"/>
        <v>5.5236560067853597E-3</v>
      </c>
      <c r="I50" s="241">
        <f t="shared" si="5"/>
        <v>2.6506797714062702</v>
      </c>
      <c r="J50" s="241">
        <f t="shared" si="0"/>
        <v>2.6627931740791215</v>
      </c>
      <c r="K50" s="241"/>
      <c r="P50">
        <f t="shared" si="1"/>
        <v>5.5236560067853597</v>
      </c>
      <c r="Q50">
        <f t="shared" si="2"/>
        <v>2.6506797714062702</v>
      </c>
      <c r="R50">
        <f t="shared" si="3"/>
        <v>26.627931740791215</v>
      </c>
      <c r="S50">
        <f t="shared" si="4"/>
        <v>0</v>
      </c>
      <c r="T50" s="245">
        <f t="shared" si="6"/>
        <v>2.473702489803351E-3</v>
      </c>
    </row>
    <row r="51" spans="8:21" x14ac:dyDescent="0.2">
      <c r="H51" s="2">
        <f t="shared" si="8"/>
        <v>5.8918997405710506E-3</v>
      </c>
      <c r="I51" s="241">
        <f t="shared" si="5"/>
        <v>2.7621796010910682</v>
      </c>
      <c r="J51" s="241">
        <f t="shared" si="0"/>
        <v>2.5224148467054937</v>
      </c>
      <c r="K51" s="241"/>
      <c r="P51">
        <f t="shared" si="1"/>
        <v>5.8918997405710503</v>
      </c>
      <c r="Q51">
        <f t="shared" si="2"/>
        <v>2.7621796010910682</v>
      </c>
      <c r="R51">
        <f t="shared" si="3"/>
        <v>25.224148467054938</v>
      </c>
      <c r="S51">
        <f t="shared" si="4"/>
        <v>0</v>
      </c>
      <c r="T51" s="245">
        <f t="shared" si="6"/>
        <v>2.6972975778371791E-3</v>
      </c>
    </row>
    <row r="52" spans="8:21" x14ac:dyDescent="0.2">
      <c r="H52" s="2">
        <f t="shared" si="8"/>
        <v>6.2601434743567415E-3</v>
      </c>
      <c r="I52" s="241">
        <f t="shared" si="5"/>
        <v>2.867801332639683</v>
      </c>
      <c r="J52" s="241">
        <f t="shared" si="0"/>
        <v>2.3894370470889759</v>
      </c>
      <c r="K52" s="241"/>
      <c r="P52">
        <f t="shared" si="1"/>
        <v>6.2601434743567417</v>
      </c>
      <c r="Q52">
        <f t="shared" si="2"/>
        <v>2.867801332639683</v>
      </c>
      <c r="R52">
        <f t="shared" si="3"/>
        <v>23.894370470889758</v>
      </c>
      <c r="S52">
        <f t="shared" si="4"/>
        <v>0</v>
      </c>
      <c r="T52" s="245">
        <f t="shared" si="6"/>
        <v>2.9180264371801768E-3</v>
      </c>
    </row>
    <row r="53" spans="8:21" x14ac:dyDescent="0.2">
      <c r="H53" s="2">
        <f t="shared" si="8"/>
        <v>6.6283872081424325E-3</v>
      </c>
      <c r="I53" s="241">
        <f t="shared" si="5"/>
        <v>2.9678548502716362</v>
      </c>
      <c r="J53" s="241">
        <f t="shared" si="0"/>
        <v>2.2634696308810174</v>
      </c>
      <c r="K53" s="241"/>
      <c r="P53">
        <f t="shared" si="1"/>
        <v>6.6283872081424322</v>
      </c>
      <c r="Q53">
        <f t="shared" si="2"/>
        <v>2.9678548502716362</v>
      </c>
      <c r="R53">
        <f t="shared" si="3"/>
        <v>22.634696308810174</v>
      </c>
      <c r="S53">
        <f t="shared" si="4"/>
        <v>0</v>
      </c>
      <c r="T53" s="245">
        <f t="shared" si="6"/>
        <v>3.1351243252277995E-3</v>
      </c>
    </row>
    <row r="54" spans="8:21" x14ac:dyDescent="0.2">
      <c r="H54" s="2">
        <f t="shared" si="8"/>
        <v>6.9966309419281234E-3</v>
      </c>
      <c r="I54" s="241">
        <f t="shared" si="5"/>
        <v>3.0626337015908818</v>
      </c>
      <c r="J54" s="241">
        <f t="shared" si="0"/>
        <v>2.1441430215381918</v>
      </c>
      <c r="K54" s="241"/>
      <c r="P54">
        <f t="shared" si="1"/>
        <v>6.9966309419281236</v>
      </c>
      <c r="Q54">
        <f t="shared" si="2"/>
        <v>3.0626337015908818</v>
      </c>
      <c r="R54">
        <f t="shared" si="3"/>
        <v>21.441430215381917</v>
      </c>
      <c r="S54">
        <f t="shared" si="4"/>
        <v>0</v>
      </c>
      <c r="T54" s="245">
        <f t="shared" si="6"/>
        <v>3.3479608340038452E-3</v>
      </c>
    </row>
    <row r="55" spans="8:21" x14ac:dyDescent="0.2">
      <c r="H55" s="2">
        <f t="shared" si="8"/>
        <v>7.3648746757138143E-3</v>
      </c>
      <c r="I55" s="241">
        <f t="shared" si="5"/>
        <v>3.1524159588268517</v>
      </c>
      <c r="J55" s="241">
        <f t="shared" si="0"/>
        <v>2.0311071260193967</v>
      </c>
      <c r="K55" s="241"/>
      <c r="P55">
        <f t="shared" si="1"/>
        <v>7.3648746757138142</v>
      </c>
      <c r="Q55">
        <f t="shared" si="2"/>
        <v>3.1524159588268517</v>
      </c>
      <c r="R55">
        <f t="shared" si="3"/>
        <v>20.311071260193966</v>
      </c>
      <c r="S55">
        <f t="shared" si="4"/>
        <v>0</v>
      </c>
      <c r="T55" s="245">
        <f t="shared" si="6"/>
        <v>3.5560231565188228E-3</v>
      </c>
    </row>
    <row r="56" spans="8:21" x14ac:dyDescent="0.2">
      <c r="H56" s="2">
        <f t="shared" si="8"/>
        <v>7.7331184094995052E-3</v>
      </c>
      <c r="I56" s="241">
        <f t="shared" si="5"/>
        <v>3.2374650346722058</v>
      </c>
      <c r="J56" s="241">
        <f t="shared" si="0"/>
        <v>1.9240303076458218</v>
      </c>
      <c r="K56" s="241"/>
      <c r="P56">
        <f t="shared" si="1"/>
        <v>7.7331184094995056</v>
      </c>
      <c r="Q56">
        <f t="shared" si="2"/>
        <v>3.2374650346722058</v>
      </c>
      <c r="R56">
        <f t="shared" si="3"/>
        <v>19.240303076458218</v>
      </c>
      <c r="S56">
        <f t="shared" si="4"/>
        <v>0</v>
      </c>
      <c r="T56" s="245">
        <f t="shared" si="6"/>
        <v>3.758901226124085E-3</v>
      </c>
    </row>
    <row r="57" spans="8:21" x14ac:dyDescent="0.2">
      <c r="H57" s="2">
        <f t="shared" si="8"/>
        <v>8.1013621432851953E-3</v>
      </c>
      <c r="I57" s="241">
        <f t="shared" si="5"/>
        <v>3.3180304551108728</v>
      </c>
      <c r="J57" s="241">
        <f t="shared" si="0"/>
        <v>1.8225984131101551</v>
      </c>
      <c r="K57" s="241"/>
      <c r="P57">
        <f t="shared" si="1"/>
        <v>8.1013621432851952</v>
      </c>
      <c r="Q57">
        <f t="shared" si="2"/>
        <v>3.3180304551108728</v>
      </c>
      <c r="R57">
        <f t="shared" si="3"/>
        <v>18.225984131101551</v>
      </c>
      <c r="S57">
        <f t="shared" si="4"/>
        <v>0</v>
      </c>
      <c r="T57" s="245">
        <f t="shared" si="6"/>
        <v>3.9562745284040836E-3</v>
      </c>
    </row>
    <row r="58" spans="8:21" x14ac:dyDescent="0.2">
      <c r="H58" s="2">
        <f t="shared" si="8"/>
        <v>8.4696058770708862E-3</v>
      </c>
      <c r="I58" s="241">
        <f t="shared" si="5"/>
        <v>3.3943485915038156</v>
      </c>
      <c r="J58" s="241">
        <f t="shared" si="0"/>
        <v>1.7265138507803313</v>
      </c>
      <c r="K58" s="241"/>
      <c r="P58">
        <f t="shared" si="1"/>
        <v>8.4696058770708866</v>
      </c>
      <c r="Q58">
        <f t="shared" si="2"/>
        <v>3.3943485915038156</v>
      </c>
      <c r="R58">
        <f t="shared" si="3"/>
        <v>17.265138507803314</v>
      </c>
      <c r="S58">
        <f t="shared" si="4"/>
        <v>0</v>
      </c>
      <c r="T58" s="245">
        <f t="shared" si="6"/>
        <v>4.1479004061599949E-3</v>
      </c>
    </row>
    <row r="59" spans="8:21" x14ac:dyDescent="0.2">
      <c r="H59" s="2">
        <f t="shared" si="8"/>
        <v>8.8378496108565772E-3</v>
      </c>
      <c r="I59" s="241">
        <f t="shared" si="5"/>
        <v>3.466643354080345</v>
      </c>
      <c r="J59" s="241">
        <f t="shared" si="0"/>
        <v>1.6354947175937058</v>
      </c>
      <c r="K59" s="241"/>
      <c r="P59">
        <f t="shared" si="1"/>
        <v>8.8378496108565781</v>
      </c>
      <c r="Q59">
        <f t="shared" si="2"/>
        <v>3.466643354080345</v>
      </c>
      <c r="R59">
        <f t="shared" si="3"/>
        <v>16.354947175937056</v>
      </c>
      <c r="S59">
        <f t="shared" si="4"/>
        <v>0</v>
      </c>
      <c r="T59" s="245">
        <f t="shared" si="6"/>
        <v>4.3336036968666808E-3</v>
      </c>
    </row>
    <row r="60" spans="8:21" x14ac:dyDescent="0.2">
      <c r="H60" s="2">
        <f t="shared" si="8"/>
        <v>9.2060933446422681E-3</v>
      </c>
      <c r="I60" s="241">
        <f t="shared" si="5"/>
        <v>3.5351268488696652</v>
      </c>
      <c r="J60" s="241">
        <f t="shared" si="0"/>
        <v>1.5492739719799919</v>
      </c>
      <c r="K60" s="241"/>
      <c r="P60">
        <f t="shared" si="1"/>
        <v>9.2060933446422677</v>
      </c>
      <c r="Q60">
        <f t="shared" si="2"/>
        <v>3.5351268488696652</v>
      </c>
      <c r="R60">
        <f t="shared" si="3"/>
        <v>15.492739719799919</v>
      </c>
      <c r="S60">
        <f t="shared" si="4"/>
        <v>0</v>
      </c>
      <c r="T60" s="245">
        <f t="shared" si="6"/>
        <v>4.5132675588620873E-3</v>
      </c>
    </row>
    <row r="61" spans="8:21" x14ac:dyDescent="0.2">
      <c r="H61" s="2">
        <f t="shared" si="8"/>
        <v>9.574337078427959E-3</v>
      </c>
      <c r="I61" s="241">
        <f t="shared" si="5"/>
        <v>3.600000000000001</v>
      </c>
      <c r="J61" s="241">
        <f t="shared" si="0"/>
        <v>1.4675986503864307</v>
      </c>
      <c r="K61" s="241"/>
      <c r="P61">
        <f t="shared" si="1"/>
        <v>9.5743370784279591</v>
      </c>
      <c r="Q61">
        <f t="shared" si="2"/>
        <v>3.600000000000001</v>
      </c>
      <c r="R61">
        <f t="shared" si="3"/>
        <v>14.675986503864307</v>
      </c>
      <c r="S61">
        <f t="shared" si="4"/>
        <v>0</v>
      </c>
      <c r="T61" s="245">
        <f t="shared" si="6"/>
        <v>4.6868253576495562E-3</v>
      </c>
      <c r="U61">
        <f>SQRT(SUM(T36:T61))/(0.001*P61)</f>
        <v>24.870160567484664</v>
      </c>
    </row>
    <row r="62" spans="8:21" x14ac:dyDescent="0.2">
      <c r="P62" s="148">
        <f t="shared" ref="P62:P95" si="9">1000*($H$61+H81)</f>
        <v>9.5743370784279591</v>
      </c>
      <c r="Q62" s="252">
        <f t="shared" ref="Q62:Q95" si="10">I81</f>
        <v>3.600000000000001</v>
      </c>
      <c r="R62" s="252">
        <f t="shared" ref="R62:R95" si="11">J81</f>
        <v>1.4675986503864307</v>
      </c>
      <c r="S62" s="252">
        <f t="shared" ref="S62:S95" si="12">K81</f>
        <v>0</v>
      </c>
      <c r="T62" s="245">
        <f t="shared" si="6"/>
        <v>0</v>
      </c>
    </row>
    <row r="63" spans="8:21" x14ac:dyDescent="0.2">
      <c r="H63" t="s">
        <v>379</v>
      </c>
      <c r="I63" s="241"/>
      <c r="K63" s="241"/>
      <c r="P63" s="25">
        <f t="shared" si="9"/>
        <v>9.6108333268822683</v>
      </c>
      <c r="Q63" s="241">
        <f t="shared" si="10"/>
        <v>3.5747755339309246</v>
      </c>
      <c r="R63" s="241">
        <f t="shared" si="11"/>
        <v>-16.102043973940312</v>
      </c>
      <c r="S63" s="241">
        <f t="shared" si="12"/>
        <v>17.601400236564178</v>
      </c>
      <c r="T63" s="245">
        <f t="shared" si="6"/>
        <v>4.6968303119767897E-4</v>
      </c>
    </row>
    <row r="64" spans="8:21" x14ac:dyDescent="0.2">
      <c r="H64" s="2">
        <f>COUNT(H35:H61)</f>
        <v>27</v>
      </c>
      <c r="I64" s="241"/>
      <c r="J64" s="242"/>
      <c r="K64" s="241"/>
      <c r="P64" s="25">
        <f t="shared" si="9"/>
        <v>9.6473295753365758</v>
      </c>
      <c r="Q64" s="241">
        <f t="shared" si="10"/>
        <v>3.4934607885902</v>
      </c>
      <c r="R64" s="241">
        <f t="shared" si="11"/>
        <v>-33.324373298935498</v>
      </c>
      <c r="S64" s="241">
        <f t="shared" si="12"/>
        <v>34.926104856427635</v>
      </c>
      <c r="T64" s="245">
        <f t="shared" si="6"/>
        <v>4.5583782121533549E-4</v>
      </c>
    </row>
    <row r="65" spans="1:20" ht="20.25" x14ac:dyDescent="0.3">
      <c r="A65" s="46" t="s">
        <v>197</v>
      </c>
      <c r="I65" s="241"/>
      <c r="J65" s="242" t="s">
        <v>198</v>
      </c>
      <c r="K65" s="241"/>
      <c r="P65" s="25">
        <f t="shared" si="9"/>
        <v>9.6838258237908867</v>
      </c>
      <c r="Q65" s="241">
        <f t="shared" si="10"/>
        <v>3.3576349760538089</v>
      </c>
      <c r="R65" s="241">
        <f t="shared" si="11"/>
        <v>-49.930369798466273</v>
      </c>
      <c r="S65" s="241">
        <f t="shared" si="12"/>
        <v>51.703106104861831</v>
      </c>
      <c r="T65" s="245">
        <f t="shared" si="6"/>
        <v>4.282607856776458E-4</v>
      </c>
    </row>
    <row r="66" spans="1:20" x14ac:dyDescent="0.2">
      <c r="I66" s="241"/>
      <c r="J66" s="242">
        <f>J69*(2*E70)</f>
        <v>58.949869446832395</v>
      </c>
      <c r="K66" s="241"/>
      <c r="P66" s="25">
        <f t="shared" si="9"/>
        <v>9.720322072245196</v>
      </c>
      <c r="Q66" s="241">
        <f t="shared" si="10"/>
        <v>3.1697262234884769</v>
      </c>
      <c r="R66" s="241">
        <f t="shared" si="11"/>
        <v>-65.662147973098513</v>
      </c>
      <c r="S66" s="241">
        <f t="shared" si="12"/>
        <v>67.671461469419427</v>
      </c>
      <c r="T66" s="245">
        <f t="shared" si="6"/>
        <v>3.8874384358671019E-4</v>
      </c>
    </row>
    <row r="67" spans="1:20" x14ac:dyDescent="0.2">
      <c r="A67" t="s">
        <v>200</v>
      </c>
      <c r="E67" s="33" t="s">
        <v>199</v>
      </c>
      <c r="G67" t="s">
        <v>201</v>
      </c>
      <c r="I67" s="241"/>
      <c r="J67" s="241"/>
      <c r="K67" s="241"/>
      <c r="P67" s="25">
        <f t="shared" si="9"/>
        <v>9.7568183206995052</v>
      </c>
      <c r="Q67" s="241">
        <f t="shared" si="10"/>
        <v>2.9329688382656967</v>
      </c>
      <c r="R67" s="241">
        <f t="shared" si="11"/>
        <v>-80.276952859606709</v>
      </c>
      <c r="S67" s="241">
        <f t="shared" si="12"/>
        <v>82.58434399268171</v>
      </c>
      <c r="T67" s="245">
        <f t="shared" si="6"/>
        <v>3.3980641442984879E-4</v>
      </c>
    </row>
    <row r="68" spans="1:20" ht="14.25" x14ac:dyDescent="0.2">
      <c r="A68" s="33" t="s">
        <v>202</v>
      </c>
      <c r="B68" s="10">
        <f>E68</f>
        <v>6</v>
      </c>
      <c r="C68" t="s">
        <v>837</v>
      </c>
      <c r="D68" s="33" t="s">
        <v>202</v>
      </c>
      <c r="E68" s="10">
        <f>E4</f>
        <v>6</v>
      </c>
      <c r="F68" t="s">
        <v>837</v>
      </c>
      <c r="G68" s="236" t="s">
        <v>203</v>
      </c>
      <c r="H68" s="2">
        <f>J68*J68</f>
        <v>5407.6590617171305</v>
      </c>
      <c r="I68" s="243" t="s">
        <v>204</v>
      </c>
      <c r="J68" s="242">
        <f>E69/(2*E70)</f>
        <v>73.536787132136325</v>
      </c>
      <c r="K68" s="244" t="s">
        <v>205</v>
      </c>
      <c r="P68" s="25">
        <f t="shared" si="9"/>
        <v>9.7933145691538144</v>
      </c>
      <c r="Q68" s="241">
        <f t="shared" si="10"/>
        <v>2.6513481219639328</v>
      </c>
      <c r="R68" s="241">
        <f t="shared" si="11"/>
        <v>-93.550897167821631</v>
      </c>
      <c r="S68" s="241">
        <f t="shared" si="12"/>
        <v>96.212848888298097</v>
      </c>
      <c r="T68" s="245">
        <f t="shared" si="6"/>
        <v>2.8453019009070968E-4</v>
      </c>
    </row>
    <row r="69" spans="1:20" ht="15.75" x14ac:dyDescent="0.3">
      <c r="A69" s="33" t="s">
        <v>206</v>
      </c>
      <c r="B69" s="10">
        <f>E69</f>
        <v>1.2590003748926577</v>
      </c>
      <c r="C69" t="s">
        <v>965</v>
      </c>
      <c r="D69" s="33" t="s">
        <v>206</v>
      </c>
      <c r="E69" s="10">
        <f>E23</f>
        <v>1.2590003748926577</v>
      </c>
      <c r="F69" t="s">
        <v>965</v>
      </c>
      <c r="G69" s="147" t="s">
        <v>207</v>
      </c>
      <c r="H69" s="2">
        <f>1/(E70*E71)</f>
        <v>11855592.930142067</v>
      </c>
      <c r="I69" s="243" t="s">
        <v>208</v>
      </c>
      <c r="J69" s="242">
        <f>SQRT(H69)</f>
        <v>3443.1951629470655</v>
      </c>
      <c r="K69" s="241"/>
      <c r="P69" s="25">
        <f t="shared" si="9"/>
        <v>9.8298108176081236</v>
      </c>
      <c r="Q69" s="241">
        <f t="shared" si="10"/>
        <v>2.3295336678975329</v>
      </c>
      <c r="R69" s="241">
        <f t="shared" si="11"/>
        <v>-105.28238165431554</v>
      </c>
      <c r="S69" s="241">
        <f t="shared" si="12"/>
        <v>108.34949789310748</v>
      </c>
      <c r="T69" s="245">
        <f t="shared" si="6"/>
        <v>2.2636053037046033E-4</v>
      </c>
    </row>
    <row r="70" spans="1:20" x14ac:dyDescent="0.2">
      <c r="A70" s="33" t="s">
        <v>209</v>
      </c>
      <c r="B70" s="10">
        <f>1000*E70</f>
        <v>8.5603439039999998</v>
      </c>
      <c r="C70" t="s">
        <v>995</v>
      </c>
      <c r="D70" s="33" t="s">
        <v>209</v>
      </c>
      <c r="E70" s="10">
        <f>E24</f>
        <v>8.5603439039999996E-3</v>
      </c>
      <c r="F70" t="s">
        <v>898</v>
      </c>
      <c r="G70" s="2" t="s">
        <v>210</v>
      </c>
      <c r="H70" s="2">
        <f>E68/E70</f>
        <v>700.90642003253799</v>
      </c>
      <c r="I70" s="241"/>
      <c r="J70" s="241"/>
      <c r="K70" s="241"/>
      <c r="P70" s="25">
        <f t="shared" si="9"/>
        <v>9.8663070660624328</v>
      </c>
      <c r="Q70" s="241">
        <f t="shared" si="10"/>
        <v>1.9728022529425953</v>
      </c>
      <c r="R70" s="241">
        <f t="shared" si="11"/>
        <v>-115.29514663181295</v>
      </c>
      <c r="S70" s="241">
        <f t="shared" si="12"/>
        <v>118.81138785576914</v>
      </c>
      <c r="T70" s="245">
        <f t="shared" si="6"/>
        <v>1.688872508125325E-4</v>
      </c>
    </row>
    <row r="71" spans="1:20" ht="15.75" x14ac:dyDescent="0.3">
      <c r="A71" s="33" t="s">
        <v>211</v>
      </c>
      <c r="B71" s="10">
        <f>E71*1000000</f>
        <v>9.8533862760324915</v>
      </c>
      <c r="C71" t="s">
        <v>1160</v>
      </c>
      <c r="D71" s="33" t="s">
        <v>211</v>
      </c>
      <c r="E71" s="251">
        <f>E25</f>
        <v>9.8533862760324906E-6</v>
      </c>
      <c r="F71" t="s">
        <v>212</v>
      </c>
      <c r="G71" s="113" t="s">
        <v>213</v>
      </c>
      <c r="H71" s="242">
        <f>J69/(2*PI())</f>
        <v>548.00153021312951</v>
      </c>
      <c r="I71" s="241" t="s">
        <v>214</v>
      </c>
      <c r="J71" s="245">
        <f>1/H71</f>
        <v>1.8248124227154595E-3</v>
      </c>
      <c r="K71" s="241" t="s">
        <v>215</v>
      </c>
      <c r="P71" s="25">
        <f t="shared" si="9"/>
        <v>9.902803314516742</v>
      </c>
      <c r="Q71" s="241">
        <f t="shared" si="10"/>
        <v>1.5869515921483381</v>
      </c>
      <c r="R71" s="241">
        <f t="shared" si="11"/>
        <v>-123.44090859374934</v>
      </c>
      <c r="S71" s="241">
        <f t="shared" si="12"/>
        <v>127.44293594429809</v>
      </c>
      <c r="T71" s="245">
        <f t="shared" si="6"/>
        <v>1.1561872311479988E-4</v>
      </c>
    </row>
    <row r="72" spans="1:20" x14ac:dyDescent="0.2">
      <c r="I72" s="241"/>
      <c r="J72" s="241"/>
      <c r="K72" s="241"/>
      <c r="P72" s="25">
        <f t="shared" si="9"/>
        <v>9.9392995629710512</v>
      </c>
      <c r="Q72" s="241">
        <f t="shared" si="10"/>
        <v>1.1782063615452314</v>
      </c>
      <c r="R72" s="241">
        <f t="shared" si="11"/>
        <v>-129.601542705215</v>
      </c>
      <c r="S72" s="241">
        <f t="shared" si="12"/>
        <v>134.11818045432864</v>
      </c>
      <c r="T72" s="245">
        <f t="shared" si="6"/>
        <v>6.9763477721504556E-5</v>
      </c>
    </row>
    <row r="73" spans="1:20" x14ac:dyDescent="0.2">
      <c r="A73" t="s">
        <v>216</v>
      </c>
      <c r="B73" s="17">
        <v>0</v>
      </c>
      <c r="E73" t="s">
        <v>217</v>
      </c>
      <c r="I73" s="241"/>
      <c r="J73" s="241"/>
      <c r="K73" s="241"/>
      <c r="P73" s="25">
        <f t="shared" si="9"/>
        <v>9.9757958114253604</v>
      </c>
      <c r="Q73" s="241">
        <f t="shared" si="10"/>
        <v>0.75311800864615797</v>
      </c>
      <c r="R73" s="241">
        <f t="shared" si="11"/>
        <v>-133.69077926439934</v>
      </c>
      <c r="S73" s="241">
        <f t="shared" si="12"/>
        <v>138.74260340917542</v>
      </c>
      <c r="T73" s="245">
        <f t="shared" si="6"/>
        <v>3.4032877804597431E-5</v>
      </c>
    </row>
    <row r="74" spans="1:20" ht="21" x14ac:dyDescent="0.35">
      <c r="A74" s="33" t="s">
        <v>240</v>
      </c>
      <c r="B74" s="19">
        <f>E68/E69</f>
        <v>4.7656856341377658</v>
      </c>
      <c r="C74" t="s">
        <v>895</v>
      </c>
      <c r="D74" s="33" t="s">
        <v>218</v>
      </c>
      <c r="E74" s="147" t="s">
        <v>219</v>
      </c>
      <c r="F74" t="b">
        <f>IF(H68&gt;H69,TRUE(),FALSE())</f>
        <v>0</v>
      </c>
      <c r="G74" t="s">
        <v>220</v>
      </c>
      <c r="I74" s="246" t="s">
        <v>221</v>
      </c>
      <c r="J74" s="241" t="str">
        <f>IF(F74,SQRT(H68-H69),"")</f>
        <v/>
      </c>
      <c r="K74" s="241"/>
      <c r="P74" s="25">
        <f t="shared" si="9"/>
        <v>10.01229205987967</v>
      </c>
      <c r="Q74" s="241">
        <f t="shared" si="10"/>
        <v>0.31845995971191182</v>
      </c>
      <c r="R74" s="241">
        <f t="shared" si="11"/>
        <v>-135.65539005384068</v>
      </c>
      <c r="S74" s="241">
        <f t="shared" si="12"/>
        <v>141.25444884517509</v>
      </c>
      <c r="T74" s="245">
        <f t="shared" si="6"/>
        <v>1.0476972042612896E-5</v>
      </c>
    </row>
    <row r="75" spans="1:20" ht="15.75" x14ac:dyDescent="0.3">
      <c r="A75" s="33" t="s">
        <v>355</v>
      </c>
      <c r="B75" s="257">
        <f>B76*J71</f>
        <v>3.6496248454309194E-5</v>
      </c>
      <c r="C75" t="s">
        <v>215</v>
      </c>
      <c r="D75" s="33" t="s">
        <v>222</v>
      </c>
      <c r="E75" s="147" t="s">
        <v>223</v>
      </c>
      <c r="F75" t="b">
        <f>IF(H68=H69,TRUE(),FALSE())</f>
        <v>0</v>
      </c>
      <c r="G75" t="s">
        <v>224</v>
      </c>
      <c r="I75" s="246" t="s">
        <v>221</v>
      </c>
      <c r="J75" s="241" t="str">
        <f>IF(F75,0,"")</f>
        <v/>
      </c>
      <c r="K75" s="241"/>
      <c r="P75" s="25">
        <f t="shared" si="9"/>
        <v>10.048788308333979</v>
      </c>
      <c r="Q75" s="241">
        <f t="shared" si="10"/>
        <v>-0.11888010336012451</v>
      </c>
      <c r="R75" s="241">
        <f t="shared" si="11"/>
        <v>-135.47584865288451</v>
      </c>
      <c r="S75" s="241">
        <f t="shared" si="12"/>
        <v>141.62551874758219</v>
      </c>
      <c r="T75" s="245">
        <f t="shared" si="6"/>
        <v>3.6343072843162063E-7</v>
      </c>
    </row>
    <row r="76" spans="1:20" ht="15.75" x14ac:dyDescent="0.3">
      <c r="A76" t="s">
        <v>263</v>
      </c>
      <c r="B76" s="268">
        <v>0.02</v>
      </c>
      <c r="D76" s="33" t="s">
        <v>225</v>
      </c>
      <c r="E76" s="147" t="s">
        <v>226</v>
      </c>
      <c r="F76" t="b">
        <f>IF(H68&lt;H69,TRUE(),FALSE())</f>
        <v>1</v>
      </c>
      <c r="G76" t="s">
        <v>227</v>
      </c>
      <c r="I76" s="246" t="s">
        <v>228</v>
      </c>
      <c r="J76" s="241">
        <f>IF(F76,SQRT(H69-H68),"")</f>
        <v>3442.4098058017948</v>
      </c>
      <c r="K76" s="247" t="s">
        <v>229</v>
      </c>
      <c r="P76" s="25">
        <f t="shared" si="9"/>
        <v>10.085284556788288</v>
      </c>
      <c r="Q76" s="241">
        <f t="shared" si="10"/>
        <v>-0.55200918653051767</v>
      </c>
      <c r="R76" s="241">
        <f t="shared" si="11"/>
        <v>-133.16645714174695</v>
      </c>
      <c r="S76" s="241">
        <f t="shared" si="12"/>
        <v>139.86143691453307</v>
      </c>
      <c r="T76" s="245">
        <f t="shared" si="6"/>
        <v>4.1066713729332091E-6</v>
      </c>
    </row>
    <row r="77" spans="1:20" ht="15.75" x14ac:dyDescent="0.3">
      <c r="D77" s="33"/>
      <c r="E77" s="147"/>
      <c r="G77" s="248" t="s">
        <v>230</v>
      </c>
      <c r="H77" s="242">
        <f>J76/(2*PI())</f>
        <v>547.8765367413672</v>
      </c>
      <c r="I77" s="246"/>
      <c r="J77" s="241"/>
      <c r="K77" s="247"/>
      <c r="P77" s="25">
        <f t="shared" si="9"/>
        <v>10.121780805242597</v>
      </c>
      <c r="Q77" s="241">
        <f t="shared" si="10"/>
        <v>-0.97413742746138121</v>
      </c>
      <c r="R77" s="241">
        <f t="shared" si="11"/>
        <v>-128.77494006087792</v>
      </c>
      <c r="S77" s="241">
        <f t="shared" si="12"/>
        <v>136.00137944724878</v>
      </c>
      <c r="T77" s="245">
        <f t="shared" si="6"/>
        <v>2.1251067369219693E-5</v>
      </c>
    </row>
    <row r="78" spans="1:20" ht="15.75" x14ac:dyDescent="0.3">
      <c r="I78" s="241"/>
      <c r="J78" s="241" t="s">
        <v>232</v>
      </c>
      <c r="K78" s="241"/>
      <c r="P78" s="25">
        <f t="shared" si="9"/>
        <v>10.158277053696906</v>
      </c>
      <c r="Q78" s="241">
        <f t="shared" si="10"/>
        <v>-1.3786843367413086</v>
      </c>
      <c r="R78" s="241">
        <f t="shared" si="11"/>
        <v>-122.38151486389019</v>
      </c>
      <c r="S78" s="241">
        <f t="shared" si="12"/>
        <v>130.11727896070613</v>
      </c>
      <c r="T78" s="245">
        <f t="shared" si="6"/>
        <v>5.0508711644955467E-5</v>
      </c>
    </row>
    <row r="79" spans="1:20" ht="14.25" x14ac:dyDescent="0.25">
      <c r="H79" s="249" t="s">
        <v>233</v>
      </c>
      <c r="I79" s="250" t="s">
        <v>878</v>
      </c>
      <c r="J79" s="250" t="s">
        <v>234</v>
      </c>
      <c r="K79" s="250" t="s">
        <v>235</v>
      </c>
      <c r="L79" s="250" t="s">
        <v>386</v>
      </c>
      <c r="M79" s="250" t="s">
        <v>390</v>
      </c>
      <c r="P79" s="25">
        <f t="shared" si="9"/>
        <v>10.194773302151216</v>
      </c>
      <c r="Q79" s="241">
        <f t="shared" si="10"/>
        <v>-1.7593811772839132</v>
      </c>
      <c r="R79" s="241">
        <f t="shared" si="11"/>
        <v>-114.0974562867567</v>
      </c>
      <c r="S79" s="241">
        <f t="shared" si="12"/>
        <v>122.31251784853623</v>
      </c>
      <c r="T79" s="245">
        <f t="shared" si="6"/>
        <v>8.9848792634616346E-5</v>
      </c>
    </row>
    <row r="80" spans="1:20" x14ac:dyDescent="0.2">
      <c r="H80" s="2" t="s">
        <v>236</v>
      </c>
      <c r="I80" s="242" t="s">
        <v>237</v>
      </c>
      <c r="J80" s="242" t="s">
        <v>238</v>
      </c>
      <c r="K80" s="242" t="s">
        <v>238</v>
      </c>
      <c r="L80" s="242" t="s">
        <v>385</v>
      </c>
      <c r="M80" s="242" t="s">
        <v>238</v>
      </c>
      <c r="P80" s="25">
        <f t="shared" si="9"/>
        <v>10.231269550605525</v>
      </c>
      <c r="Q80" s="241">
        <f t="shared" si="10"/>
        <v>-2.1103678923145277</v>
      </c>
      <c r="R80" s="241">
        <f t="shared" si="11"/>
        <v>-104.06317992257087</v>
      </c>
      <c r="S80" s="241">
        <f t="shared" si="12"/>
        <v>112.72013389015629</v>
      </c>
      <c r="T80" s="245">
        <f t="shared" si="6"/>
        <v>1.3663244567797033E-4</v>
      </c>
    </row>
    <row r="81" spans="1:20" x14ac:dyDescent="0.2">
      <c r="H81" s="2">
        <v>0</v>
      </c>
      <c r="I81" s="114">
        <f>(E68/(2*J76*E70))*EXP(-H81*J68)*SIN(J76*H81)+I61*EXP(-H81*J68)*COS(J76*H81)</f>
        <v>3.600000000000001</v>
      </c>
      <c r="J81" s="242">
        <f>E68-I81*E69-K81</f>
        <v>1.4675986503864307</v>
      </c>
      <c r="K81" s="242">
        <f>E68*(1-EXP(-J68*H81)*(COS(J76*H81)+(J68/J76)*SIN(H81*J76)))+B74*SQRT(E70/E71)*EXP(-H81*J68)*SIN(J76*H81)</f>
        <v>0</v>
      </c>
      <c r="L81" s="2">
        <f>-0.001*$B$20*J81</f>
        <v>-0.29645492737805901</v>
      </c>
      <c r="M81">
        <f>I81*E$69</f>
        <v>4.5324013496135693</v>
      </c>
      <c r="P81" s="25">
        <f t="shared" si="9"/>
        <v>10.267765799059834</v>
      </c>
      <c r="Q81" s="241">
        <f t="shared" si="10"/>
        <v>-2.4262830866108018</v>
      </c>
      <c r="R81" s="241">
        <f t="shared" si="11"/>
        <v>-92.445877717886646</v>
      </c>
      <c r="S81" s="241">
        <f t="shared" si="12"/>
        <v>101.50056903352535</v>
      </c>
      <c r="T81" s="245">
        <f t="shared" si="6"/>
        <v>1.8778416637431372E-4</v>
      </c>
    </row>
    <row r="82" spans="1:20" x14ac:dyDescent="0.2">
      <c r="H82" s="2">
        <f t="shared" ref="H82:H114" si="13">H81+$B$75</f>
        <v>3.6496248454309194E-5</v>
      </c>
      <c r="I82" s="114">
        <f t="shared" ref="I82:I112" si="14">($E$68/(2*$J$76*$E$70))*EXP(-H82*$J$68)*SIN($J$76*H82)+$I$61*EXP(-H82*$J$68)*COS($J$76*H82)</f>
        <v>3.5747755339309246</v>
      </c>
      <c r="J82" s="242">
        <f t="shared" ref="J82:J112" si="15">$E$68-I82*$E$69-K82</f>
        <v>-16.102043973940312</v>
      </c>
      <c r="K82" s="242">
        <f t="shared" ref="K82:K112" si="16">E$68*(1-EXP(-J$68*H82)*(COS(J$76*H82)+(J$68/J$76)*SIN(H82*J$76)))+B$74*SQRT(E$70/E$71)*EXP(-H82*J$68)*SIN(J$76*H82)</f>
        <v>17.601400236564178</v>
      </c>
      <c r="L82" s="2">
        <f t="shared" ref="L82:L114" si="17">-0.001*$B$20*J82</f>
        <v>3.2526128827359431</v>
      </c>
      <c r="M82">
        <f t="shared" ref="M82:M114" si="18">I82*E$69</f>
        <v>4.5006437373761345</v>
      </c>
      <c r="P82" s="25">
        <f t="shared" si="9"/>
        <v>10.304262047514143</v>
      </c>
      <c r="Q82" s="241">
        <f t="shared" si="10"/>
        <v>-2.7023456829286538</v>
      </c>
      <c r="R82" s="241">
        <f t="shared" si="11"/>
        <v>-79.436744979051639</v>
      </c>
      <c r="S82" s="241">
        <f t="shared" si="12"/>
        <v>88.838999206948372</v>
      </c>
      <c r="T82" s="245">
        <f t="shared" si="6"/>
        <v>2.3998868256369708E-4</v>
      </c>
    </row>
    <row r="83" spans="1:20" x14ac:dyDescent="0.2">
      <c r="H83" s="2">
        <f t="shared" si="13"/>
        <v>7.2992496908618387E-5</v>
      </c>
      <c r="I83" s="114">
        <f t="shared" si="14"/>
        <v>3.4934607885902</v>
      </c>
      <c r="J83" s="242">
        <f t="shared" si="15"/>
        <v>-33.324373298935498</v>
      </c>
      <c r="K83" s="242">
        <f t="shared" si="16"/>
        <v>34.926104856427635</v>
      </c>
      <c r="L83" s="2">
        <f t="shared" si="17"/>
        <v>6.7315234063849712</v>
      </c>
      <c r="M83">
        <f t="shared" si="18"/>
        <v>4.3982684425078613</v>
      </c>
      <c r="P83" s="25">
        <f t="shared" si="9"/>
        <v>10.340758295968453</v>
      </c>
      <c r="Q83" s="241">
        <f t="shared" si="10"/>
        <v>-2.9344270138577615</v>
      </c>
      <c r="R83" s="241">
        <f t="shared" si="11"/>
        <v>-65.247844689892361</v>
      </c>
      <c r="S83" s="241">
        <f t="shared" si="12"/>
        <v>74.942289400434419</v>
      </c>
      <c r="T83" s="245">
        <f t="shared" si="6"/>
        <v>2.8990070906261467E-4</v>
      </c>
    </row>
    <row r="84" spans="1:20" x14ac:dyDescent="0.2">
      <c r="H84" s="2">
        <f t="shared" si="13"/>
        <v>1.0948874536292758E-4</v>
      </c>
      <c r="I84" s="114">
        <f t="shared" si="14"/>
        <v>3.3576349760538089</v>
      </c>
      <c r="J84" s="242">
        <f t="shared" si="15"/>
        <v>-49.930369798466273</v>
      </c>
      <c r="K84" s="242">
        <f t="shared" si="16"/>
        <v>51.703106104861831</v>
      </c>
      <c r="L84" s="2">
        <f t="shared" si="17"/>
        <v>10.085934699290188</v>
      </c>
      <c r="M84">
        <f t="shared" si="18"/>
        <v>4.2272636936044448</v>
      </c>
      <c r="P84" s="25">
        <f t="shared" si="9"/>
        <v>10.377254544422762</v>
      </c>
      <c r="Q84" s="241">
        <f t="shared" si="10"/>
        <v>-3.1191122664224222</v>
      </c>
      <c r="R84" s="241">
        <f t="shared" si="11"/>
        <v>-50.108660401416699</v>
      </c>
      <c r="S84" s="241">
        <f t="shared" si="12"/>
        <v>60.03562391417482</v>
      </c>
      <c r="T84" s="245">
        <f t="shared" si="6"/>
        <v>3.3435433842349846E-4</v>
      </c>
    </row>
    <row r="85" spans="1:20" x14ac:dyDescent="0.2">
      <c r="H85" s="2">
        <f t="shared" si="13"/>
        <v>1.4598499381723677E-4</v>
      </c>
      <c r="I85" s="114">
        <f t="shared" si="14"/>
        <v>3.1697262234884769</v>
      </c>
      <c r="J85" s="242">
        <f t="shared" si="15"/>
        <v>-65.662147973098513</v>
      </c>
      <c r="K85" s="242">
        <f t="shared" si="16"/>
        <v>67.671461469419427</v>
      </c>
      <c r="L85" s="2">
        <f t="shared" si="17"/>
        <v>13.2637538905659</v>
      </c>
      <c r="M85">
        <f t="shared" si="18"/>
        <v>3.9906865036790804</v>
      </c>
      <c r="P85" s="25">
        <f t="shared" si="9"/>
        <v>10.413750792877071</v>
      </c>
      <c r="Q85" s="241">
        <f t="shared" si="10"/>
        <v>-3.2537503700031705</v>
      </c>
      <c r="R85" s="241">
        <f t="shared" si="11"/>
        <v>-34.262393578036303</v>
      </c>
      <c r="S85" s="241">
        <f t="shared" si="12"/>
        <v>44.35886651367742</v>
      </c>
      <c r="T85" s="245">
        <f t="shared" si="6"/>
        <v>3.7055898518161039E-4</v>
      </c>
    </row>
    <row r="86" spans="1:20" ht="15.75" x14ac:dyDescent="0.3">
      <c r="A86" s="33"/>
      <c r="B86" s="18"/>
      <c r="C86" s="18"/>
      <c r="D86" s="116" t="s">
        <v>356</v>
      </c>
      <c r="E86" s="116" t="s">
        <v>357</v>
      </c>
      <c r="H86" s="2">
        <f t="shared" si="13"/>
        <v>1.8248124227154597E-4</v>
      </c>
      <c r="I86" s="114">
        <f t="shared" si="14"/>
        <v>2.9329688382656967</v>
      </c>
      <c r="J86" s="242">
        <f t="shared" si="15"/>
        <v>-80.276952859606709</v>
      </c>
      <c r="K86" s="242">
        <f t="shared" si="16"/>
        <v>82.58434399268171</v>
      </c>
      <c r="L86" s="2">
        <f t="shared" si="17"/>
        <v>16.215944477640555</v>
      </c>
      <c r="M86">
        <f t="shared" si="18"/>
        <v>3.6926088669249948</v>
      </c>
      <c r="P86" s="25">
        <f t="shared" si="9"/>
        <v>10.45024704133138</v>
      </c>
      <c r="Q86" s="241">
        <f t="shared" si="10"/>
        <v>-3.3364916047904334</v>
      </c>
      <c r="R86" s="241">
        <f t="shared" si="11"/>
        <v>-17.96206500492368</v>
      </c>
      <c r="S86" s="241">
        <f t="shared" si="12"/>
        <v>28.16270918618104</v>
      </c>
      <c r="T86" s="245">
        <f t="shared" si="6"/>
        <v>3.96269781121233E-4</v>
      </c>
    </row>
    <row r="87" spans="1:20" x14ac:dyDescent="0.2">
      <c r="A87" s="85"/>
      <c r="B87" s="18"/>
      <c r="C87" s="18"/>
      <c r="D87" s="85"/>
      <c r="E87" s="255"/>
      <c r="H87" s="90">
        <f t="shared" si="13"/>
        <v>2.1897749072585516E-4</v>
      </c>
      <c r="I87" s="281">
        <f t="shared" si="14"/>
        <v>2.6513481219639328</v>
      </c>
      <c r="J87" s="282">
        <f t="shared" si="15"/>
        <v>-93.550897167821631</v>
      </c>
      <c r="K87" s="282">
        <f t="shared" si="16"/>
        <v>96.212848888298097</v>
      </c>
      <c r="L87" s="90">
        <f t="shared" si="17"/>
        <v>18.89728122789997</v>
      </c>
      <c r="M87">
        <f t="shared" si="18"/>
        <v>3.3380482795235351</v>
      </c>
      <c r="P87" s="25">
        <f t="shared" si="9"/>
        <v>10.486743289785689</v>
      </c>
      <c r="Q87" s="241">
        <f t="shared" si="10"/>
        <v>-3.3663124049864912</v>
      </c>
      <c r="R87" s="241">
        <f t="shared" si="11"/>
        <v>-1.4664826238342048</v>
      </c>
      <c r="S87" s="241">
        <f t="shared" si="12"/>
        <v>11.704671203718002</v>
      </c>
      <c r="T87" s="245">
        <f t="shared" si="6"/>
        <v>4.0992204507173861E-4</v>
      </c>
    </row>
    <row r="88" spans="1:20" x14ac:dyDescent="0.2">
      <c r="A88" s="33"/>
      <c r="B88" s="18"/>
      <c r="C88" s="18"/>
      <c r="D88" s="85"/>
      <c r="E88" s="255"/>
      <c r="H88" s="2">
        <f t="shared" si="13"/>
        <v>2.5547373918016433E-4</v>
      </c>
      <c r="I88" s="114">
        <f t="shared" si="14"/>
        <v>2.3295336678975329</v>
      </c>
      <c r="J88" s="242">
        <f t="shared" si="15"/>
        <v>-105.28238165431554</v>
      </c>
      <c r="K88" s="242">
        <f t="shared" si="16"/>
        <v>108.34949789310748</v>
      </c>
      <c r="L88" s="2">
        <f t="shared" si="17"/>
        <v>21.267041094171741</v>
      </c>
      <c r="M88">
        <f t="shared" si="18"/>
        <v>2.9328837612080618</v>
      </c>
      <c r="P88" s="25">
        <f t="shared" si="9"/>
        <v>10.523239538239999</v>
      </c>
      <c r="Q88" s="241">
        <f t="shared" si="10"/>
        <v>-3.3430270351921352</v>
      </c>
      <c r="R88" s="241">
        <f t="shared" si="11"/>
        <v>14.963860068284326</v>
      </c>
      <c r="S88" s="241">
        <f t="shared" si="12"/>
        <v>-4.7549877777011389</v>
      </c>
      <c r="T88" s="245">
        <f t="shared" si="6"/>
        <v>4.1072180679887035E-4</v>
      </c>
    </row>
    <row r="89" spans="1:20" ht="15.75" x14ac:dyDescent="0.3">
      <c r="E89" t="s">
        <v>376</v>
      </c>
      <c r="H89" s="2">
        <f t="shared" si="13"/>
        <v>2.9196998763447355E-4</v>
      </c>
      <c r="I89" s="114">
        <f t="shared" si="14"/>
        <v>1.9728022529425953</v>
      </c>
      <c r="J89" s="242">
        <f t="shared" si="15"/>
        <v>-115.29514663181295</v>
      </c>
      <c r="K89" s="242">
        <f t="shared" si="16"/>
        <v>118.81138785576914</v>
      </c>
      <c r="L89" s="2">
        <f t="shared" si="17"/>
        <v>23.289619619626219</v>
      </c>
      <c r="M89">
        <f t="shared" si="18"/>
        <v>2.4837587760438073</v>
      </c>
      <c r="P89" s="25">
        <f t="shared" si="9"/>
        <v>10.559735786694308</v>
      </c>
      <c r="Q89" s="241">
        <f t="shared" si="10"/>
        <v>-3.2672860265988963</v>
      </c>
      <c r="R89" s="241">
        <f t="shared" si="11"/>
        <v>31.070890174767335</v>
      </c>
      <c r="S89" s="241">
        <f t="shared" si="12"/>
        <v>-20.957375842397781</v>
      </c>
      <c r="T89" s="245">
        <f t="shared" si="6"/>
        <v>3.9868719671175686E-4</v>
      </c>
    </row>
    <row r="90" spans="1:20" x14ac:dyDescent="0.2">
      <c r="H90" s="2">
        <f t="shared" si="13"/>
        <v>3.2846623608878277E-4</v>
      </c>
      <c r="I90" s="114">
        <f t="shared" si="14"/>
        <v>1.5869515921483381</v>
      </c>
      <c r="J90" s="242">
        <f t="shared" si="15"/>
        <v>-123.44090859374934</v>
      </c>
      <c r="K90" s="242">
        <f t="shared" si="16"/>
        <v>127.44293594429809</v>
      </c>
      <c r="L90" s="2">
        <f t="shared" si="17"/>
        <v>24.935063535937367</v>
      </c>
      <c r="M90">
        <f t="shared" si="18"/>
        <v>1.9979726494512577</v>
      </c>
      <c r="P90" s="25">
        <f t="shared" si="9"/>
        <v>10.596232035148617</v>
      </c>
      <c r="Q90" s="241">
        <f t="shared" si="10"/>
        <v>-3.1405614684611209</v>
      </c>
      <c r="R90" s="241">
        <f t="shared" si="11"/>
        <v>46.603001501374393</v>
      </c>
      <c r="S90" s="241">
        <f t="shared" si="12"/>
        <v>-36.649033435208409</v>
      </c>
      <c r="T90" s="245">
        <f t="shared" si="6"/>
        <v>3.7463863927512806E-4</v>
      </c>
    </row>
    <row r="91" spans="1:20" x14ac:dyDescent="0.2">
      <c r="A91" s="33"/>
      <c r="B91" s="27"/>
      <c r="H91" s="2">
        <f t="shared" si="13"/>
        <v>3.6496248454309199E-4</v>
      </c>
      <c r="I91" s="114">
        <f t="shared" si="14"/>
        <v>1.1782063615452314</v>
      </c>
      <c r="J91" s="242">
        <f t="shared" si="15"/>
        <v>-129.601542705215</v>
      </c>
      <c r="K91" s="242">
        <f t="shared" si="16"/>
        <v>134.11818045432864</v>
      </c>
      <c r="L91" s="2">
        <f t="shared" si="17"/>
        <v>26.179511626453429</v>
      </c>
      <c r="M91">
        <f t="shared" si="18"/>
        <v>1.4833622508863604</v>
      </c>
      <c r="P91" s="25">
        <f t="shared" si="9"/>
        <v>10.632728283602926</v>
      </c>
      <c r="Q91" s="241">
        <f t="shared" si="10"/>
        <v>-2.9651194565557089</v>
      </c>
      <c r="R91" s="241">
        <f t="shared" si="11"/>
        <v>61.31897728807526</v>
      </c>
      <c r="S91" s="241">
        <f t="shared" si="12"/>
        <v>-51.585890780670105</v>
      </c>
      <c r="T91" s="245">
        <f t="shared" si="6"/>
        <v>3.40139009681375E-4</v>
      </c>
    </row>
    <row r="92" spans="1:20" ht="15.75" x14ac:dyDescent="0.3">
      <c r="A92" s="33"/>
      <c r="B92" s="276"/>
      <c r="D92" s="2" t="s">
        <v>371</v>
      </c>
      <c r="E92" t="s">
        <v>372</v>
      </c>
      <c r="H92" s="2">
        <f t="shared" si="13"/>
        <v>4.0145873299740121E-4</v>
      </c>
      <c r="I92" s="114">
        <f t="shared" si="14"/>
        <v>0.75311800864615797</v>
      </c>
      <c r="J92" s="242">
        <f t="shared" si="15"/>
        <v>-133.69077926439934</v>
      </c>
      <c r="K92" s="242">
        <f t="shared" si="16"/>
        <v>138.74260340917542</v>
      </c>
      <c r="L92" s="2">
        <f t="shared" si="17"/>
        <v>27.005537411408667</v>
      </c>
      <c r="M92">
        <f t="shared" si="18"/>
        <v>0.94817585522392467</v>
      </c>
      <c r="P92" s="25">
        <f t="shared" si="9"/>
        <v>10.669224532057235</v>
      </c>
      <c r="Q92" s="241">
        <f t="shared" si="10"/>
        <v>-2.7439802007216594</v>
      </c>
      <c r="R92" s="241">
        <f t="shared" si="11"/>
        <v>74.991728532824666</v>
      </c>
      <c r="S92" s="241">
        <f t="shared" si="12"/>
        <v>-65.537056431418065</v>
      </c>
      <c r="T92" s="245">
        <f t="shared" si="6"/>
        <v>2.9738802813240466E-4</v>
      </c>
    </row>
    <row r="93" spans="1:20" x14ac:dyDescent="0.2">
      <c r="A93" s="33"/>
      <c r="B93" s="277"/>
      <c r="H93" s="2">
        <f t="shared" si="13"/>
        <v>4.3795498145171043E-4</v>
      </c>
      <c r="I93" s="114">
        <f t="shared" si="14"/>
        <v>0.31845995971191182</v>
      </c>
      <c r="J93" s="242">
        <f t="shared" si="15"/>
        <v>-135.65539005384068</v>
      </c>
      <c r="K93" s="242">
        <f t="shared" si="16"/>
        <v>141.25444884517509</v>
      </c>
      <c r="L93" s="2">
        <f t="shared" si="17"/>
        <v>27.402388790875818</v>
      </c>
      <c r="M93">
        <f t="shared" si="18"/>
        <v>0.40094120866559763</v>
      </c>
      <c r="P93" s="25">
        <f t="shared" si="9"/>
        <v>10.705720780511545</v>
      </c>
      <c r="Q93" s="241">
        <f t="shared" si="10"/>
        <v>-2.4808664849859579</v>
      </c>
      <c r="R93" s="241">
        <f t="shared" si="11"/>
        <v>87.411790096853139</v>
      </c>
      <c r="S93" s="241">
        <f t="shared" si="12"/>
        <v>-78.288378262197185</v>
      </c>
      <c r="T93" s="245">
        <f t="shared" si="6"/>
        <v>2.4907798048057195E-4</v>
      </c>
    </row>
    <row r="94" spans="1:20" x14ac:dyDescent="0.2">
      <c r="E94" s="33" t="s">
        <v>259</v>
      </c>
      <c r="H94" s="2">
        <f t="shared" si="13"/>
        <v>4.7445122990601965E-4</v>
      </c>
      <c r="I94" s="114">
        <f t="shared" si="14"/>
        <v>-0.11888010336012451</v>
      </c>
      <c r="J94" s="242">
        <f t="shared" si="15"/>
        <v>-135.47584865288451</v>
      </c>
      <c r="K94" s="242">
        <f t="shared" si="16"/>
        <v>141.62551874758219</v>
      </c>
      <c r="L94" s="2">
        <f t="shared" si="17"/>
        <v>27.366121427882671</v>
      </c>
      <c r="M94">
        <f t="shared" si="18"/>
        <v>-0.14967009469767467</v>
      </c>
      <c r="P94" s="25">
        <f t="shared" si="9"/>
        <v>10.742217028965854</v>
      </c>
      <c r="Q94" s="241">
        <f t="shared" si="10"/>
        <v>-2.1801413532644394</v>
      </c>
      <c r="R94" s="241">
        <f t="shared" si="11"/>
        <v>98.39052090017087</v>
      </c>
      <c r="S94" s="241">
        <f t="shared" si="12"/>
        <v>-89.645722119091957</v>
      </c>
      <c r="T94" s="245">
        <f t="shared" si="6"/>
        <v>1.982201952956439E-4</v>
      </c>
    </row>
    <row r="95" spans="1:20" x14ac:dyDescent="0.2">
      <c r="H95" s="2">
        <f t="shared" si="13"/>
        <v>5.1094747836032887E-4</v>
      </c>
      <c r="I95" s="114">
        <f t="shared" si="14"/>
        <v>-0.55200918653051767</v>
      </c>
      <c r="J95" s="242">
        <f t="shared" si="15"/>
        <v>-133.16645714174695</v>
      </c>
      <c r="K95" s="242">
        <f t="shared" si="16"/>
        <v>139.86143691453307</v>
      </c>
      <c r="L95" s="2">
        <f t="shared" si="17"/>
        <v>26.899624342632883</v>
      </c>
      <c r="M95">
        <f t="shared" si="18"/>
        <v>-0.69497977278611278</v>
      </c>
      <c r="P95" s="25">
        <f t="shared" si="9"/>
        <v>10.778713277420163</v>
      </c>
      <c r="Q95" s="214">
        <f t="shared" si="10"/>
        <v>-1.8467360584168095</v>
      </c>
      <c r="R95" s="214">
        <f t="shared" si="11"/>
        <v>107.76295945757848</v>
      </c>
      <c r="S95" s="214">
        <f t="shared" si="12"/>
        <v>-99.437918067703919</v>
      </c>
      <c r="T95" s="245">
        <f t="shared" si="6"/>
        <v>1.4795343438550287E-4</v>
      </c>
    </row>
    <row r="96" spans="1:20" x14ac:dyDescent="0.2">
      <c r="H96" s="2">
        <f t="shared" si="13"/>
        <v>5.4744372681463809E-4</v>
      </c>
      <c r="I96" s="114">
        <f t="shared" si="14"/>
        <v>-0.97413742746138121</v>
      </c>
      <c r="J96" s="242">
        <f t="shared" si="15"/>
        <v>-128.77494006087792</v>
      </c>
      <c r="K96" s="242">
        <f t="shared" si="16"/>
        <v>136.00137944724878</v>
      </c>
      <c r="L96" s="2">
        <f t="shared" si="17"/>
        <v>26.012537892297342</v>
      </c>
      <c r="M96">
        <f t="shared" si="18"/>
        <v>-1.226439386370848</v>
      </c>
      <c r="N96" s="241"/>
      <c r="O96" s="241"/>
      <c r="P96" s="25">
        <f t="shared" ref="P96:P101" si="19">1000*($H$61+H115)</f>
        <v>10.815209525874472</v>
      </c>
      <c r="Q96" s="214">
        <f t="shared" ref="Q96:Q101" si="20">I115</f>
        <v>-1.4860694600208584</v>
      </c>
      <c r="R96" s="214">
        <f t="shared" ref="R96:R101" si="21">J115</f>
        <v>115.39029168737039</v>
      </c>
      <c r="S96" s="214">
        <f t="shared" ref="S96:S101" si="22">K115</f>
        <v>-107.51932968008761</v>
      </c>
      <c r="T96" s="245">
        <f t="shared" si="6"/>
        <v>1.0134636503121259E-4</v>
      </c>
    </row>
    <row r="97" spans="4:20" ht="15.75" x14ac:dyDescent="0.3">
      <c r="D97" s="2" t="s">
        <v>373</v>
      </c>
      <c r="E97" t="s">
        <v>374</v>
      </c>
      <c r="H97" s="2">
        <f t="shared" si="13"/>
        <v>5.8393997526894731E-4</v>
      </c>
      <c r="I97" s="114">
        <f t="shared" si="14"/>
        <v>-1.3786843367413086</v>
      </c>
      <c r="J97" s="242">
        <f t="shared" si="15"/>
        <v>-122.38151486389019</v>
      </c>
      <c r="K97" s="242">
        <f t="shared" si="16"/>
        <v>130.11727896070613</v>
      </c>
      <c r="L97" s="2">
        <f t="shared" si="17"/>
        <v>24.721066002505818</v>
      </c>
      <c r="M97">
        <f t="shared" si="18"/>
        <v>-1.7357640968159427</v>
      </c>
      <c r="N97" s="241"/>
      <c r="O97" s="241"/>
      <c r="P97" s="25">
        <f t="shared" si="19"/>
        <v>10.851705774328781</v>
      </c>
      <c r="Q97" s="214">
        <f t="shared" si="20"/>
        <v>-1.1039601843828892</v>
      </c>
      <c r="R97" s="214">
        <f t="shared" si="21"/>
        <v>121.16189425378131</v>
      </c>
      <c r="S97" s="214">
        <f t="shared" si="22"/>
        <v>-113.77200796777669</v>
      </c>
      <c r="T97" s="245">
        <f t="shared" si="6"/>
        <v>6.1206522144940223E-5</v>
      </c>
    </row>
    <row r="98" spans="4:20" ht="15.75" x14ac:dyDescent="0.3">
      <c r="F98" s="2" t="s">
        <v>375</v>
      </c>
      <c r="H98" s="2">
        <f t="shared" si="13"/>
        <v>6.2043622372325653E-4</v>
      </c>
      <c r="I98" s="114">
        <f t="shared" si="14"/>
        <v>-1.7593811772839132</v>
      </c>
      <c r="J98" s="242">
        <f t="shared" si="15"/>
        <v>-114.0974562867567</v>
      </c>
      <c r="K98" s="242">
        <f t="shared" si="16"/>
        <v>122.31251784853623</v>
      </c>
      <c r="L98" s="2">
        <f t="shared" si="17"/>
        <v>23.047686169924855</v>
      </c>
      <c r="M98">
        <f t="shared" si="18"/>
        <v>-2.2150615617795322</v>
      </c>
      <c r="N98" s="241"/>
      <c r="O98" s="241"/>
      <c r="P98" s="25">
        <f t="shared" si="19"/>
        <v>10.888202022783091</v>
      </c>
      <c r="Q98" s="214">
        <f t="shared" si="20"/>
        <v>-0.70653296710781555</v>
      </c>
      <c r="R98" s="214">
        <f t="shared" si="21"/>
        <v>124.99692357704984</v>
      </c>
      <c r="S98" s="214">
        <f t="shared" si="22"/>
        <v>-118.10739830658709</v>
      </c>
      <c r="T98" s="245">
        <f t="shared" si="6"/>
        <v>2.9907630461541833E-5</v>
      </c>
    </row>
    <row r="99" spans="4:20" x14ac:dyDescent="0.2">
      <c r="H99" s="2">
        <f t="shared" si="13"/>
        <v>6.5693247217756576E-4</v>
      </c>
      <c r="I99" s="114">
        <f t="shared" si="14"/>
        <v>-2.1103678923145277</v>
      </c>
      <c r="J99" s="242">
        <f t="shared" si="15"/>
        <v>-104.06317992257087</v>
      </c>
      <c r="K99" s="242">
        <f t="shared" si="16"/>
        <v>112.72013389015629</v>
      </c>
      <c r="L99" s="2">
        <f t="shared" si="17"/>
        <v>21.020762344359316</v>
      </c>
      <c r="M99">
        <f t="shared" si="18"/>
        <v>-2.6569539675854181</v>
      </c>
      <c r="N99" s="241"/>
      <c r="O99" s="241"/>
      <c r="P99" s="25">
        <f t="shared" si="19"/>
        <v>10.9246982712374</v>
      </c>
      <c r="Q99" s="214">
        <f t="shared" si="20"/>
        <v>-0.30012068244779422</v>
      </c>
      <c r="R99" s="214">
        <f t="shared" si="21"/>
        <v>126.84542795075456</v>
      </c>
      <c r="S99" s="214">
        <f t="shared" si="22"/>
        <v>-120.46757589903974</v>
      </c>
      <c r="T99" s="245">
        <f t="shared" si="6"/>
        <v>9.2458826690640336E-6</v>
      </c>
    </row>
    <row r="100" spans="4:20" x14ac:dyDescent="0.2">
      <c r="H100" s="2">
        <f t="shared" si="13"/>
        <v>6.9342872063187498E-4</v>
      </c>
      <c r="I100" s="114">
        <f t="shared" si="14"/>
        <v>-2.4262830866108018</v>
      </c>
      <c r="J100" s="242">
        <f t="shared" si="15"/>
        <v>-92.445877717886646</v>
      </c>
      <c r="K100" s="242">
        <f t="shared" si="16"/>
        <v>101.50056903352535</v>
      </c>
      <c r="L100" s="2">
        <f t="shared" si="17"/>
        <v>18.674067299013103</v>
      </c>
      <c r="M100">
        <f t="shared" si="18"/>
        <v>-3.0546913156387143</v>
      </c>
      <c r="N100" s="241"/>
      <c r="O100" s="241"/>
      <c r="P100" s="25">
        <f t="shared" si="19"/>
        <v>10.961194519691709</v>
      </c>
      <c r="Q100" s="214">
        <f t="shared" si="20"/>
        <v>0.1088363765643917</v>
      </c>
      <c r="R100" s="214">
        <f t="shared" si="21"/>
        <v>126.68896782758101</v>
      </c>
      <c r="S100" s="214">
        <f t="shared" si="22"/>
        <v>-120.82599286647753</v>
      </c>
      <c r="T100" s="245">
        <f t="shared" si="6"/>
        <v>3.3384656483591021E-7</v>
      </c>
    </row>
    <row r="101" spans="4:20" x14ac:dyDescent="0.2">
      <c r="H101" s="2">
        <f t="shared" si="13"/>
        <v>7.299249690861842E-4</v>
      </c>
      <c r="I101" s="114">
        <f t="shared" si="14"/>
        <v>-2.7023456829286538</v>
      </c>
      <c r="J101" s="242">
        <f t="shared" si="15"/>
        <v>-79.436744979051639</v>
      </c>
      <c r="K101" s="242">
        <f t="shared" si="16"/>
        <v>88.838999206948372</v>
      </c>
      <c r="L101" s="2">
        <f t="shared" si="17"/>
        <v>16.046222485768432</v>
      </c>
      <c r="M101">
        <f t="shared" si="18"/>
        <v>-3.4022542278967305</v>
      </c>
      <c r="N101" s="241"/>
      <c r="O101" s="241"/>
      <c r="P101" s="25">
        <f t="shared" si="19"/>
        <v>10.997690768146018</v>
      </c>
      <c r="Q101" s="214">
        <f t="shared" si="20"/>
        <v>0.51389236832286955</v>
      </c>
      <c r="R101" s="214">
        <f t="shared" si="21"/>
        <v>124.5407371503494</v>
      </c>
      <c r="S101" s="214">
        <f t="shared" si="22"/>
        <v>-119.18772783472237</v>
      </c>
      <c r="T101" s="245">
        <f t="shared" ref="T101:T137" si="23">(0.5*(Q100+Q101))^2*0.001*(P101-P100)</f>
        <v>3.5382299895955007E-6</v>
      </c>
    </row>
    <row r="102" spans="4:20" x14ac:dyDescent="0.2">
      <c r="H102" s="2">
        <f t="shared" si="13"/>
        <v>7.6642121754049342E-4</v>
      </c>
      <c r="I102" s="114">
        <f t="shared" si="14"/>
        <v>-2.9344270138577615</v>
      </c>
      <c r="J102" s="242">
        <f t="shared" si="15"/>
        <v>-65.247844689892361</v>
      </c>
      <c r="K102" s="242">
        <f t="shared" si="16"/>
        <v>74.942289400434419</v>
      </c>
      <c r="L102" s="2">
        <f t="shared" si="17"/>
        <v>13.180064627358258</v>
      </c>
      <c r="M102">
        <f t="shared" si="18"/>
        <v>-3.6944447105420637</v>
      </c>
      <c r="N102" s="241"/>
      <c r="O102" s="241"/>
      <c r="P102" s="25">
        <f t="shared" ref="P102:P123" si="24">1000*($H$61+H121)</f>
        <v>11.034187016600328</v>
      </c>
      <c r="Q102" s="214">
        <f t="shared" ref="Q102:Q123" si="25">I121</f>
        <v>0.90869731478903626</v>
      </c>
      <c r="R102" s="214">
        <f t="shared" ref="R102:R123" si="26">J121</f>
        <v>120.44518649099726</v>
      </c>
      <c r="S102" s="214">
        <f t="shared" ref="S102:S123" si="27">K121</f>
        <v>-115.5892367509806</v>
      </c>
      <c r="T102" s="245">
        <f t="shared" si="23"/>
        <v>1.8464924775934017E-5</v>
      </c>
    </row>
    <row r="103" spans="4:20" x14ac:dyDescent="0.2">
      <c r="H103" s="2">
        <f t="shared" si="13"/>
        <v>8.0291746599480264E-4</v>
      </c>
      <c r="I103" s="114">
        <f t="shared" si="14"/>
        <v>-3.1191122664224222</v>
      </c>
      <c r="J103" s="242">
        <f t="shared" si="15"/>
        <v>-50.108660401416699</v>
      </c>
      <c r="K103" s="242">
        <f t="shared" si="16"/>
        <v>60.03562391417482</v>
      </c>
      <c r="L103" s="2">
        <f t="shared" si="17"/>
        <v>10.121949401086175</v>
      </c>
      <c r="M103">
        <f t="shared" si="18"/>
        <v>-3.9269635127581166</v>
      </c>
      <c r="N103" s="241"/>
      <c r="O103" s="241"/>
      <c r="P103" s="25">
        <f t="shared" si="24"/>
        <v>11.070683265054637</v>
      </c>
      <c r="Q103" s="214">
        <f t="shared" si="25"/>
        <v>1.2870964629714876</v>
      </c>
      <c r="R103" s="214">
        <f t="shared" si="26"/>
        <v>114.47715659186696</v>
      </c>
      <c r="S103" s="214">
        <f t="shared" si="27"/>
        <v>-110.09761152127108</v>
      </c>
      <c r="T103" s="245">
        <f t="shared" si="23"/>
        <v>4.3991759590312144E-5</v>
      </c>
    </row>
    <row r="104" spans="4:20" x14ac:dyDescent="0.2">
      <c r="H104" s="2">
        <f t="shared" si="13"/>
        <v>8.3941371444911186E-4</v>
      </c>
      <c r="I104" s="114">
        <f t="shared" si="14"/>
        <v>-3.2537503700031705</v>
      </c>
      <c r="J104" s="242">
        <f t="shared" si="15"/>
        <v>-34.262393578036303</v>
      </c>
      <c r="K104" s="242">
        <f t="shared" si="16"/>
        <v>44.35886651367742</v>
      </c>
      <c r="L104" s="2">
        <f t="shared" si="17"/>
        <v>6.9210035027633339</v>
      </c>
      <c r="M104">
        <f t="shared" si="18"/>
        <v>-4.0964729356411151</v>
      </c>
      <c r="N104" s="241"/>
      <c r="O104" s="241"/>
      <c r="P104" s="25">
        <f t="shared" si="24"/>
        <v>11.107179513508946</v>
      </c>
      <c r="Q104" s="214">
        <f t="shared" si="25"/>
        <v>1.6432260439313477</v>
      </c>
      <c r="R104" s="214">
        <f t="shared" si="26"/>
        <v>106.74053855820212</v>
      </c>
      <c r="S104" s="214">
        <f t="shared" si="27"/>
        <v>-102.80936076354506</v>
      </c>
      <c r="T104" s="245">
        <f t="shared" si="23"/>
        <v>7.8346405265709173E-5</v>
      </c>
    </row>
    <row r="105" spans="4:20" x14ac:dyDescent="0.2">
      <c r="H105" s="2">
        <f t="shared" si="13"/>
        <v>8.7590996290342108E-4</v>
      </c>
      <c r="I105" s="114">
        <f t="shared" si="14"/>
        <v>-3.3364916047904334</v>
      </c>
      <c r="J105" s="242">
        <f t="shared" si="15"/>
        <v>-17.96206500492368</v>
      </c>
      <c r="K105" s="242">
        <f t="shared" si="16"/>
        <v>28.16270918618104</v>
      </c>
      <c r="L105" s="2">
        <f t="shared" si="17"/>
        <v>3.6283371309945838</v>
      </c>
      <c r="M105">
        <f t="shared" si="18"/>
        <v>-4.2006441812573607</v>
      </c>
      <c r="N105" s="241"/>
      <c r="O105" s="241"/>
      <c r="P105" s="25">
        <f t="shared" si="24"/>
        <v>11.143675761963255</v>
      </c>
      <c r="Q105" s="214">
        <f t="shared" si="25"/>
        <v>1.9716039424669913</v>
      </c>
      <c r="R105" s="214">
        <f t="shared" si="26"/>
        <v>97.366484308767809</v>
      </c>
      <c r="S105" s="214">
        <f t="shared" si="27"/>
        <v>-93.8487344114736</v>
      </c>
      <c r="T105" s="245">
        <f t="shared" si="23"/>
        <v>1.1922408159592721E-4</v>
      </c>
    </row>
    <row r="106" spans="4:20" x14ac:dyDescent="0.2">
      <c r="H106" s="2">
        <f t="shared" si="13"/>
        <v>9.124062113577303E-4</v>
      </c>
      <c r="I106" s="114">
        <f t="shared" si="14"/>
        <v>-3.3663124049864912</v>
      </c>
      <c r="J106" s="242">
        <f t="shared" si="15"/>
        <v>-1.4664826238342048</v>
      </c>
      <c r="K106" s="242">
        <f t="shared" si="16"/>
        <v>11.704671203718002</v>
      </c>
      <c r="L106" s="2">
        <f t="shared" si="17"/>
        <v>0.29622949001450938</v>
      </c>
      <c r="M106">
        <f t="shared" si="18"/>
        <v>-4.2381885798837962</v>
      </c>
      <c r="N106" s="241"/>
      <c r="O106" s="241"/>
      <c r="P106" s="25">
        <f t="shared" si="24"/>
        <v>11.180172010417564</v>
      </c>
      <c r="Q106" s="214">
        <f t="shared" si="25"/>
        <v>2.2672138786383225</v>
      </c>
      <c r="R106" s="214">
        <f t="shared" si="26"/>
        <v>86.511197838831094</v>
      </c>
      <c r="S106" s="214">
        <f t="shared" si="27"/>
        <v>-83.365620961998573</v>
      </c>
      <c r="T106" s="245">
        <f t="shared" si="23"/>
        <v>1.6393728420367761E-4</v>
      </c>
    </row>
    <row r="107" spans="4:20" x14ac:dyDescent="0.2">
      <c r="H107" s="2">
        <f t="shared" si="13"/>
        <v>9.4890245981203952E-4</v>
      </c>
      <c r="I107" s="114">
        <f t="shared" si="14"/>
        <v>-3.3430270351921352</v>
      </c>
      <c r="J107" s="242">
        <f t="shared" si="15"/>
        <v>14.963860068284326</v>
      </c>
      <c r="K107" s="242">
        <f t="shared" si="16"/>
        <v>-4.7549877777011389</v>
      </c>
      <c r="L107" s="2">
        <f t="shared" si="17"/>
        <v>-3.0226997337934343</v>
      </c>
      <c r="M107">
        <f t="shared" si="18"/>
        <v>-4.2088722905831881</v>
      </c>
      <c r="N107" s="241"/>
      <c r="O107" s="241"/>
      <c r="P107" s="25">
        <f t="shared" si="24"/>
        <v>11.216668258871874</v>
      </c>
      <c r="Q107" s="214">
        <f t="shared" si="25"/>
        <v>2.5255818118270574</v>
      </c>
      <c r="R107" s="214">
        <f t="shared" si="26"/>
        <v>74.353344279303442</v>
      </c>
      <c r="S107" s="214">
        <f t="shared" si="27"/>
        <v>-71.533052727215789</v>
      </c>
      <c r="T107" s="245">
        <f t="shared" si="23"/>
        <v>2.0958783200486372E-4</v>
      </c>
    </row>
    <row r="108" spans="4:20" x14ac:dyDescent="0.2">
      <c r="H108" s="2">
        <f t="shared" si="13"/>
        <v>9.8539870826634874E-4</v>
      </c>
      <c r="I108" s="114">
        <f t="shared" si="14"/>
        <v>-3.2672860265988963</v>
      </c>
      <c r="J108" s="242">
        <f t="shared" si="15"/>
        <v>31.070890174767335</v>
      </c>
      <c r="K108" s="242">
        <f t="shared" si="16"/>
        <v>-20.957375842397781</v>
      </c>
      <c r="L108" s="2">
        <f t="shared" si="17"/>
        <v>-6.276319815303002</v>
      </c>
      <c r="M108">
        <f t="shared" si="18"/>
        <v>-4.1135143323695527</v>
      </c>
      <c r="N108" s="241"/>
      <c r="O108" s="241"/>
      <c r="P108" s="25">
        <f t="shared" si="24"/>
        <v>11.253164507326183</v>
      </c>
      <c r="Q108" s="214">
        <f t="shared" si="25"/>
        <v>2.7428434072581505</v>
      </c>
      <c r="R108" s="214">
        <f t="shared" si="26"/>
        <v>61.091119549297972</v>
      </c>
      <c r="S108" s="214">
        <f t="shared" si="27"/>
        <v>-58.544360427307836</v>
      </c>
      <c r="T108" s="245">
        <f t="shared" si="23"/>
        <v>2.5325024437703678E-4</v>
      </c>
    </row>
    <row r="109" spans="4:20" x14ac:dyDescent="0.2">
      <c r="H109" s="2">
        <f t="shared" si="13"/>
        <v>1.021894956720658E-3</v>
      </c>
      <c r="I109" s="114">
        <f t="shared" si="14"/>
        <v>-3.1405614684611209</v>
      </c>
      <c r="J109" s="242">
        <f t="shared" si="15"/>
        <v>46.603001501374393</v>
      </c>
      <c r="K109" s="242">
        <f t="shared" si="16"/>
        <v>-36.649033435208409</v>
      </c>
      <c r="L109" s="2">
        <f t="shared" si="17"/>
        <v>-9.413806303277628</v>
      </c>
      <c r="M109">
        <f t="shared" si="18"/>
        <v>-3.9539680661659871</v>
      </c>
      <c r="N109" s="241"/>
      <c r="O109" s="241"/>
      <c r="P109" s="25">
        <f t="shared" si="24"/>
        <v>11.289660755780492</v>
      </c>
      <c r="Q109" s="214">
        <f t="shared" si="25"/>
        <v>2.9158015516903664</v>
      </c>
      <c r="R109" s="214">
        <f t="shared" si="26"/>
        <v>46.939028508553669</v>
      </c>
      <c r="S109" s="214">
        <f t="shared" si="27"/>
        <v>-44.610023755244434</v>
      </c>
      <c r="T109" s="245">
        <f t="shared" si="23"/>
        <v>2.921548664196258E-4</v>
      </c>
    </row>
    <row r="110" spans="4:20" x14ac:dyDescent="0.2">
      <c r="H110" s="2">
        <f t="shared" si="13"/>
        <v>1.0583912051749672E-3</v>
      </c>
      <c r="I110" s="114">
        <f t="shared" si="14"/>
        <v>-2.9651194565557089</v>
      </c>
      <c r="J110" s="242">
        <f t="shared" si="15"/>
        <v>61.31897728807526</v>
      </c>
      <c r="K110" s="242">
        <f t="shared" si="16"/>
        <v>-51.585890780670105</v>
      </c>
      <c r="L110" s="2">
        <f t="shared" si="17"/>
        <v>-12.386433412191204</v>
      </c>
      <c r="M110">
        <f t="shared" si="18"/>
        <v>-3.7330865074051509</v>
      </c>
      <c r="N110" s="241"/>
      <c r="O110" s="241"/>
      <c r="P110" s="25">
        <f t="shared" si="24"/>
        <v>11.326157004234801</v>
      </c>
      <c r="Q110" s="214">
        <f t="shared" si="25"/>
        <v>3.041973066918553</v>
      </c>
      <c r="R110" s="214">
        <f t="shared" si="26"/>
        <v>32.124423844539955</v>
      </c>
      <c r="S110" s="214">
        <f t="shared" si="27"/>
        <v>-29.954269076203779</v>
      </c>
      <c r="T110" s="245">
        <f t="shared" si="23"/>
        <v>3.2385930010392377E-4</v>
      </c>
    </row>
    <row r="111" spans="4:20" x14ac:dyDescent="0.2">
      <c r="H111" s="2">
        <f t="shared" si="13"/>
        <v>1.0948874536292764E-3</v>
      </c>
      <c r="I111" s="114">
        <f t="shared" si="14"/>
        <v>-2.7439802007216594</v>
      </c>
      <c r="J111" s="242">
        <f t="shared" si="15"/>
        <v>74.991728532824666</v>
      </c>
      <c r="K111" s="242">
        <f t="shared" si="16"/>
        <v>-65.537056431418065</v>
      </c>
      <c r="L111" s="2">
        <f t="shared" si="17"/>
        <v>-15.148329163630583</v>
      </c>
      <c r="M111">
        <f t="shared" si="18"/>
        <v>-3.4546721014065991</v>
      </c>
      <c r="N111" s="241"/>
      <c r="O111" s="241"/>
      <c r="P111" s="25">
        <f t="shared" si="24"/>
        <v>11.36265325268911</v>
      </c>
      <c r="Q111" s="214">
        <f t="shared" si="25"/>
        <v>3.1196239441882674</v>
      </c>
      <c r="R111" s="214">
        <f t="shared" si="26"/>
        <v>16.883861412675831</v>
      </c>
      <c r="S111" s="214">
        <f t="shared" si="27"/>
        <v>-14.811469127932972</v>
      </c>
      <c r="T111" s="245">
        <f t="shared" si="23"/>
        <v>3.4639755214292033E-4</v>
      </c>
    </row>
    <row r="112" spans="4:20" x14ac:dyDescent="0.2">
      <c r="H112" s="2">
        <f t="shared" si="13"/>
        <v>1.1313837020835856E-3</v>
      </c>
      <c r="I112" s="114">
        <f t="shared" si="14"/>
        <v>-2.4808664849859579</v>
      </c>
      <c r="J112" s="242">
        <f t="shared" si="15"/>
        <v>87.411790096853139</v>
      </c>
      <c r="K112" s="242">
        <f t="shared" si="16"/>
        <v>-78.288378262197185</v>
      </c>
      <c r="L112" s="2">
        <f t="shared" si="17"/>
        <v>-17.657181599564336</v>
      </c>
      <c r="M112">
        <f t="shared" si="18"/>
        <v>-3.123411834655951</v>
      </c>
      <c r="N112" s="241"/>
      <c r="O112" s="241"/>
      <c r="P112" s="25">
        <f t="shared" si="24"/>
        <v>11.39914950114342</v>
      </c>
      <c r="Q112" s="214">
        <f t="shared" si="25"/>
        <v>3.147792606794086</v>
      </c>
      <c r="R112" s="214">
        <f t="shared" si="26"/>
        <v>1.4593303367130206</v>
      </c>
      <c r="S112" s="214">
        <f t="shared" si="27"/>
        <v>0.57759759124888888</v>
      </c>
      <c r="T112" s="245">
        <f t="shared" si="23"/>
        <v>3.5839781513247355E-4</v>
      </c>
    </row>
    <row r="113" spans="8:20" x14ac:dyDescent="0.2">
      <c r="H113" s="2">
        <f t="shared" si="13"/>
        <v>1.1678799505378948E-3</v>
      </c>
      <c r="I113" s="114">
        <f>($E$68/(2*$J$76*$E$70))*EXP(-H113*$J$68)*SIN($J$76*H113)+$I$61*EXP(-H113*$J$68)*COS($J$76*H113)</f>
        <v>-2.1801413532644394</v>
      </c>
      <c r="J113" s="242">
        <f>$E$68-I113*$E$69-K113</f>
        <v>98.39052090017087</v>
      </c>
      <c r="K113" s="242">
        <f>E$68*(1-EXP(-J$68*H113)*(COS(J$76*H113)+(J$68/J$76)*SIN(H113*J$76)))+B$74*SQRT(E$70/E$71)*EXP(-H113*J$68)*SIN(J$76*H113)</f>
        <v>-89.645722119091957</v>
      </c>
      <c r="L113" s="2">
        <f t="shared" si="17"/>
        <v>-19.874885221834518</v>
      </c>
      <c r="M113">
        <f t="shared" si="18"/>
        <v>-2.7447987810789152</v>
      </c>
      <c r="N113" s="241"/>
      <c r="O113" s="241"/>
      <c r="P113" s="25">
        <f t="shared" si="24"/>
        <v>11.435645749597729</v>
      </c>
      <c r="Q113" s="214">
        <f t="shared" si="25"/>
        <v>3.1263008990675698</v>
      </c>
      <c r="R113" s="214">
        <f t="shared" si="26"/>
        <v>-13.905582165984949</v>
      </c>
      <c r="S113" s="214">
        <f t="shared" si="27"/>
        <v>15.969568162031626</v>
      </c>
      <c r="T113" s="245">
        <f t="shared" si="23"/>
        <v>3.5916185585271833E-4</v>
      </c>
    </row>
    <row r="114" spans="8:20" x14ac:dyDescent="0.2">
      <c r="H114" s="2">
        <f t="shared" si="13"/>
        <v>1.2043761989922041E-3</v>
      </c>
      <c r="I114" s="114">
        <f>($E$68/(2*$J$76*$E$70))*EXP(-H114*$J$68)*SIN($J$76*H114)+$I$61*EXP(-H114*$J$68)*COS($J$76*H114)</f>
        <v>-1.8467360584168095</v>
      </c>
      <c r="J114" s="242">
        <f>$E$68-I114*$E$69-K114</f>
        <v>107.76295945757848</v>
      </c>
      <c r="K114" s="242">
        <f>E$68*(1-EXP(-J$68*H114)*(COS(J$76*H114)+(J$68/J$76)*SIN(H114*J$76)))+B$74*SQRT(E$70/E$71)*EXP(-H114*J$68)*SIN(J$76*H114)</f>
        <v>-99.437918067703919</v>
      </c>
      <c r="L114" s="2">
        <f t="shared" si="17"/>
        <v>-21.768117810430855</v>
      </c>
      <c r="M114">
        <f t="shared" si="18"/>
        <v>-2.3250413898745523</v>
      </c>
      <c r="N114" s="241"/>
      <c r="O114" s="241"/>
      <c r="P114" s="25">
        <f t="shared" si="24"/>
        <v>11.472141998052038</v>
      </c>
      <c r="Q114" s="214">
        <f t="shared" si="25"/>
        <v>3.0557526946199722</v>
      </c>
      <c r="R114" s="214">
        <f t="shared" si="26"/>
        <v>-28.969530563872187</v>
      </c>
      <c r="S114" s="214">
        <f t="shared" si="27"/>
        <v>31.122336775766392</v>
      </c>
      <c r="T114" s="245">
        <f t="shared" si="23"/>
        <v>3.4870145910323783E-4</v>
      </c>
    </row>
    <row r="115" spans="8:20" x14ac:dyDescent="0.2">
      <c r="H115" s="2">
        <f t="shared" ref="H115:H122" si="28">H114+$B$75</f>
        <v>1.2408724474465133E-3</v>
      </c>
      <c r="I115" s="114">
        <f t="shared" ref="I115:I156" si="29">($E$68/(2*$J$76*$E$70))*EXP(-H115*$J$68)*SIN($J$76*H115)+$I$61*EXP(-H115*$J$68)*COS($J$76*H115)</f>
        <v>-1.4860694600208584</v>
      </c>
      <c r="J115" s="242">
        <f t="shared" ref="J115:J156" si="30">$E$68-I115*$E$69-K115</f>
        <v>115.39029168737039</v>
      </c>
      <c r="K115" s="242">
        <f t="shared" ref="K115:K122" si="31">E$68*(1-EXP(-J$68*H115)*(COS(J$76*H115)+(J$68/J$76)*SIN(H115*J$76)))+B$74*SQRT(E$70/E$71)*EXP(-H115*J$68)*SIN(J$76*H115)</f>
        <v>-107.51932968008761</v>
      </c>
      <c r="L115" s="2">
        <f t="shared" ref="L115:L122" si="32">-0.001*$B$20*J115</f>
        <v>-23.308838920848821</v>
      </c>
      <c r="M115">
        <f t="shared" ref="M115:M122" si="33">I115*E$69</f>
        <v>-1.8709620072827902</v>
      </c>
      <c r="N115" s="241"/>
      <c r="O115" s="241"/>
      <c r="P115" s="25">
        <f t="shared" si="24"/>
        <v>11.508638246506349</v>
      </c>
      <c r="Q115" s="214">
        <f t="shared" si="25"/>
        <v>2.9375202120070343</v>
      </c>
      <c r="R115" s="214">
        <f t="shared" si="26"/>
        <v>-43.497194977322678</v>
      </c>
      <c r="S115" s="214">
        <f t="shared" si="27"/>
        <v>45.79885592915106</v>
      </c>
      <c r="T115" s="245">
        <f t="shared" si="23"/>
        <v>3.2773010797379801E-4</v>
      </c>
    </row>
    <row r="116" spans="8:20" x14ac:dyDescent="0.2">
      <c r="H116" s="2">
        <f t="shared" si="28"/>
        <v>1.2773686959008225E-3</v>
      </c>
      <c r="I116" s="114">
        <f t="shared" si="29"/>
        <v>-1.1039601843828892</v>
      </c>
      <c r="J116" s="242">
        <f t="shared" si="30"/>
        <v>121.16189425378131</v>
      </c>
      <c r="K116" s="242">
        <f t="shared" si="31"/>
        <v>-113.77200796777669</v>
      </c>
      <c r="L116" s="2">
        <f t="shared" si="32"/>
        <v>-24.474702639263828</v>
      </c>
      <c r="M116">
        <f t="shared" si="33"/>
        <v>-1.389886286004625</v>
      </c>
      <c r="N116" s="241"/>
      <c r="O116" s="241"/>
      <c r="P116" s="25">
        <f t="shared" si="24"/>
        <v>11.545134494960656</v>
      </c>
      <c r="Q116" s="214">
        <f t="shared" si="25"/>
        <v>2.7737183188531183</v>
      </c>
      <c r="R116" s="214">
        <f t="shared" si="26"/>
        <v>-57.262950114653819</v>
      </c>
      <c r="S116" s="214">
        <f t="shared" si="27"/>
        <v>59.770837711371108</v>
      </c>
      <c r="T116" s="245">
        <f t="shared" si="23"/>
        <v>2.9761089849232835E-4</v>
      </c>
    </row>
    <row r="117" spans="8:20" x14ac:dyDescent="0.2">
      <c r="H117" s="2">
        <f t="shared" si="28"/>
        <v>1.3138649443551317E-3</v>
      </c>
      <c r="I117" s="114">
        <f t="shared" si="29"/>
        <v>-0.70653296710781555</v>
      </c>
      <c r="J117" s="242">
        <f t="shared" si="30"/>
        <v>124.99692357704984</v>
      </c>
      <c r="K117" s="242">
        <f t="shared" si="31"/>
        <v>-118.10739830658709</v>
      </c>
      <c r="L117" s="2">
        <f t="shared" si="32"/>
        <v>-25.249378562564068</v>
      </c>
      <c r="M117">
        <f t="shared" si="33"/>
        <v>-0.88952527046276153</v>
      </c>
      <c r="N117" s="241"/>
      <c r="O117" s="241"/>
      <c r="P117" s="25">
        <f t="shared" si="24"/>
        <v>11.581630743414966</v>
      </c>
      <c r="Q117" s="214">
        <f t="shared" si="25"/>
        <v>2.5671672928891764</v>
      </c>
      <c r="R117" s="214">
        <f t="shared" si="26"/>
        <v>-70.0543620875561</v>
      </c>
      <c r="S117" s="214">
        <f t="shared" si="27"/>
        <v>72.822297503396456</v>
      </c>
      <c r="T117" s="245">
        <f t="shared" si="23"/>
        <v>2.6026441118350409E-4</v>
      </c>
    </row>
    <row r="118" spans="8:20" x14ac:dyDescent="0.2">
      <c r="H118" s="2">
        <f t="shared" si="28"/>
        <v>1.3503611928094409E-3</v>
      </c>
      <c r="I118" s="114">
        <f t="shared" si="29"/>
        <v>-0.30012068244779422</v>
      </c>
      <c r="J118" s="242">
        <f t="shared" si="30"/>
        <v>126.84542795075456</v>
      </c>
      <c r="K118" s="242">
        <f t="shared" si="31"/>
        <v>-120.46757589903974</v>
      </c>
      <c r="L118" s="2">
        <f t="shared" si="32"/>
        <v>-25.622776446052423</v>
      </c>
      <c r="M118">
        <f t="shared" si="33"/>
        <v>-0.37785205171481318</v>
      </c>
      <c r="N118" s="241"/>
      <c r="O118" s="241"/>
      <c r="P118" s="25">
        <f t="shared" si="24"/>
        <v>11.618126991869275</v>
      </c>
      <c r="Q118" s="214">
        <f t="shared" si="25"/>
        <v>2.3213446874049741</v>
      </c>
      <c r="R118" s="214">
        <f t="shared" si="26"/>
        <v>-81.675459028203662</v>
      </c>
      <c r="S118" s="214">
        <f t="shared" si="27"/>
        <v>84.752885196505716</v>
      </c>
      <c r="T118" s="245">
        <f t="shared" si="23"/>
        <v>2.1804272491889929E-4</v>
      </c>
    </row>
    <row r="119" spans="8:20" x14ac:dyDescent="0.2">
      <c r="H119" s="2">
        <f t="shared" si="28"/>
        <v>1.3868574412637502E-3</v>
      </c>
      <c r="I119" s="114">
        <f t="shared" si="29"/>
        <v>0.1088363765643917</v>
      </c>
      <c r="J119" s="242">
        <f t="shared" si="30"/>
        <v>126.68896782758101</v>
      </c>
      <c r="K119" s="242">
        <f t="shared" si="31"/>
        <v>-120.82599286647753</v>
      </c>
      <c r="L119" s="2">
        <f t="shared" si="32"/>
        <v>-25.591171501171367</v>
      </c>
      <c r="M119">
        <f t="shared" si="33"/>
        <v>0.13702503889652762</v>
      </c>
      <c r="N119" s="241"/>
      <c r="O119" s="241"/>
      <c r="P119" s="25">
        <f t="shared" si="24"/>
        <v>11.654623240323584</v>
      </c>
      <c r="Q119" s="214">
        <f t="shared" si="25"/>
        <v>2.04032711651928</v>
      </c>
      <c r="R119" s="214">
        <f t="shared" si="26"/>
        <v>-91.949725277542399</v>
      </c>
      <c r="S119" s="214">
        <f t="shared" si="27"/>
        <v>95.380952672940964</v>
      </c>
      <c r="T119" s="245">
        <f t="shared" si="23"/>
        <v>1.7357780842098159E-4</v>
      </c>
    </row>
    <row r="120" spans="8:20" x14ac:dyDescent="0.2">
      <c r="H120" s="2">
        <f t="shared" si="28"/>
        <v>1.4233536897180594E-3</v>
      </c>
      <c r="I120" s="114">
        <f t="shared" si="29"/>
        <v>0.51389236832286955</v>
      </c>
      <c r="J120" s="242">
        <f t="shared" si="30"/>
        <v>124.5407371503494</v>
      </c>
      <c r="K120" s="242">
        <f t="shared" si="31"/>
        <v>-119.18772783472237</v>
      </c>
      <c r="L120" s="2">
        <f t="shared" si="32"/>
        <v>-25.15722890437058</v>
      </c>
      <c r="M120">
        <f t="shared" si="33"/>
        <v>0.64699068437296847</v>
      </c>
      <c r="N120" s="241"/>
      <c r="O120" s="241"/>
      <c r="P120" s="25">
        <f t="shared" si="24"/>
        <v>11.691119488777893</v>
      </c>
      <c r="Q120" s="214">
        <f t="shared" si="25"/>
        <v>1.7287229298513203</v>
      </c>
      <c r="R120" s="214">
        <f t="shared" si="26"/>
        <v>-100.72277353091286</v>
      </c>
      <c r="S120" s="214">
        <f t="shared" si="27"/>
        <v>104.54631071414451</v>
      </c>
      <c r="T120" s="245">
        <f t="shared" si="23"/>
        <v>1.296140381808908E-4</v>
      </c>
    </row>
    <row r="121" spans="8:20" x14ac:dyDescent="0.2">
      <c r="H121" s="2">
        <f t="shared" si="28"/>
        <v>1.4598499381723686E-3</v>
      </c>
      <c r="I121" s="114">
        <f t="shared" si="29"/>
        <v>0.90869731478903626</v>
      </c>
      <c r="J121" s="242">
        <f t="shared" si="30"/>
        <v>120.44518649099726</v>
      </c>
      <c r="K121" s="242">
        <f t="shared" si="31"/>
        <v>-115.5892367509806</v>
      </c>
      <c r="L121" s="2">
        <f t="shared" si="32"/>
        <v>-24.329927671181448</v>
      </c>
      <c r="M121">
        <f t="shared" si="33"/>
        <v>1.144050259983348</v>
      </c>
      <c r="N121" s="241"/>
      <c r="O121" s="241"/>
      <c r="P121" s="25">
        <f t="shared" si="24"/>
        <v>11.727615737232203</v>
      </c>
      <c r="Q121" s="214">
        <f t="shared" si="25"/>
        <v>1.3915968842810111</v>
      </c>
      <c r="R121" s="214">
        <f t="shared" si="26"/>
        <v>-107.86465463655014</v>
      </c>
      <c r="S121" s="214">
        <f t="shared" si="27"/>
        <v>112.1126336375409</v>
      </c>
      <c r="T121" s="245">
        <f t="shared" si="23"/>
        <v>8.8835479516636954E-5</v>
      </c>
    </row>
    <row r="122" spans="8:20" x14ac:dyDescent="0.2">
      <c r="H122" s="2">
        <f t="shared" si="28"/>
        <v>1.4963461866266778E-3</v>
      </c>
      <c r="I122" s="114">
        <f t="shared" si="29"/>
        <v>1.2870964629714876</v>
      </c>
      <c r="J122" s="242">
        <f t="shared" si="30"/>
        <v>114.47715659186696</v>
      </c>
      <c r="K122" s="242">
        <f t="shared" si="31"/>
        <v>-110.09761152127108</v>
      </c>
      <c r="L122" s="2">
        <f t="shared" si="32"/>
        <v>-23.124385631557129</v>
      </c>
      <c r="M122">
        <f t="shared" si="33"/>
        <v>1.6204549294041166</v>
      </c>
      <c r="N122" s="241"/>
      <c r="O122" s="241"/>
      <c r="P122" s="25">
        <f t="shared" si="24"/>
        <v>11.764111985686512</v>
      </c>
      <c r="Q122" s="214">
        <f t="shared" si="25"/>
        <v>1.0343880404283023</v>
      </c>
      <c r="R122" s="214">
        <f t="shared" si="26"/>
        <v>-113.2717706573825</v>
      </c>
      <c r="S122" s="214">
        <f t="shared" si="27"/>
        <v>117.96947572669879</v>
      </c>
      <c r="T122" s="245">
        <f t="shared" si="23"/>
        <v>5.3698781211686547E-5</v>
      </c>
    </row>
    <row r="123" spans="8:20" x14ac:dyDescent="0.2">
      <c r="H123" s="2">
        <f t="shared" ref="H123:H156" si="34">H122+$B$75</f>
        <v>1.5328424350809871E-3</v>
      </c>
      <c r="I123" s="114">
        <f t="shared" si="29"/>
        <v>1.6432260439313477</v>
      </c>
      <c r="J123" s="242">
        <f t="shared" si="30"/>
        <v>106.74053855820212</v>
      </c>
      <c r="K123" s="242">
        <f t="shared" ref="K123:K156" si="35">E$68*(1-EXP(-J$68*H123)*(COS(J$76*H123)+(J$68/J$76)*SIN(H123*J$76)))+B$74*SQRT(E$70/E$71)*EXP(-H123*J$68)*SIN(J$76*H123)</f>
        <v>-102.80936076354506</v>
      </c>
      <c r="L123" s="2">
        <f t="shared" ref="L123:L156" si="36">-0.001*$B$20*J123</f>
        <v>-21.561588788756829</v>
      </c>
      <c r="M123">
        <f t="shared" ref="M123:M156" si="37">I123*E$69</f>
        <v>2.0688222053429457</v>
      </c>
      <c r="N123" s="241"/>
      <c r="O123" s="241"/>
      <c r="P123" s="25">
        <f t="shared" si="24"/>
        <v>11.800608234140823</v>
      </c>
      <c r="Q123" s="214">
        <f t="shared" si="25"/>
        <v>0.66282221147419085</v>
      </c>
      <c r="R123" s="214">
        <f t="shared" si="26"/>
        <v>-116.86836323065984</v>
      </c>
      <c r="S123" s="214">
        <f t="shared" si="27"/>
        <v>122.03386981792666</v>
      </c>
      <c r="T123" s="245">
        <f t="shared" si="23"/>
        <v>2.6282067479289419E-5</v>
      </c>
    </row>
    <row r="124" spans="8:20" x14ac:dyDescent="0.2">
      <c r="H124" s="2">
        <f t="shared" si="34"/>
        <v>1.5693386835352963E-3</v>
      </c>
      <c r="I124" s="114">
        <f t="shared" si="29"/>
        <v>1.9716039424669913</v>
      </c>
      <c r="J124" s="242">
        <f t="shared" si="30"/>
        <v>97.366484308767809</v>
      </c>
      <c r="K124" s="242">
        <f t="shared" si="35"/>
        <v>-93.8487344114736</v>
      </c>
      <c r="L124" s="2">
        <f t="shared" si="36"/>
        <v>-19.668029830371097</v>
      </c>
      <c r="M124">
        <f t="shared" si="37"/>
        <v>2.4822501027057839</v>
      </c>
      <c r="N124" s="241"/>
      <c r="O124" s="241"/>
      <c r="P124" s="25">
        <f>1000*($H$61+H143)</f>
        <v>11.83710448259513</v>
      </c>
      <c r="Q124" s="214">
        <f>I143</f>
        <v>0.28282037052141989</v>
      </c>
      <c r="R124" s="214">
        <f>J143</f>
        <v>-118.60755608951354</v>
      </c>
      <c r="S124" s="214">
        <f>K143</f>
        <v>124.25148513699979</v>
      </c>
      <c r="T124" s="245">
        <f t="shared" si="23"/>
        <v>8.159100327105777E-6</v>
      </c>
    </row>
    <row r="125" spans="8:20" x14ac:dyDescent="0.2">
      <c r="H125" s="2">
        <f t="shared" si="34"/>
        <v>1.6058349319896055E-3</v>
      </c>
      <c r="I125" s="114">
        <f t="shared" si="29"/>
        <v>2.2672138786383225</v>
      </c>
      <c r="J125" s="242">
        <f t="shared" si="30"/>
        <v>86.511197838831094</v>
      </c>
      <c r="K125" s="242">
        <f t="shared" si="35"/>
        <v>-83.365620961998573</v>
      </c>
      <c r="L125" s="2">
        <f t="shared" si="36"/>
        <v>-17.475261963443881</v>
      </c>
      <c r="M125">
        <f t="shared" si="37"/>
        <v>2.8544231231674844</v>
      </c>
      <c r="N125" s="241"/>
      <c r="O125" s="241"/>
      <c r="P125" s="25">
        <f t="shared" ref="P125:P137" si="38">1000*($H$61+H144)</f>
        <v>11.873600731049439</v>
      </c>
      <c r="Q125" s="214">
        <f t="shared" ref="Q125:Q137" si="39">I144</f>
        <v>-9.959552126926173E-2</v>
      </c>
      <c r="R125" s="214">
        <f t="shared" ref="R125:R137" si="40">J144</f>
        <v>-118.47193773598984</v>
      </c>
      <c r="S125" s="214">
        <f t="shared" ref="S125:S137" si="41">K144</f>
        <v>124.59732853460547</v>
      </c>
      <c r="T125" s="245">
        <f t="shared" si="23"/>
        <v>3.0630704051519239E-7</v>
      </c>
    </row>
    <row r="126" spans="8:20" x14ac:dyDescent="0.2">
      <c r="H126" s="2">
        <f t="shared" si="34"/>
        <v>1.6423311804439147E-3</v>
      </c>
      <c r="I126" s="114">
        <f t="shared" si="29"/>
        <v>2.5255818118270574</v>
      </c>
      <c r="J126" s="242">
        <f t="shared" si="30"/>
        <v>74.353344279303442</v>
      </c>
      <c r="K126" s="242">
        <f t="shared" si="35"/>
        <v>-71.533052727215789</v>
      </c>
      <c r="L126" s="2">
        <f t="shared" si="36"/>
        <v>-15.019375544419296</v>
      </c>
      <c r="M126">
        <f t="shared" si="37"/>
        <v>3.179708447912343</v>
      </c>
      <c r="N126" s="241"/>
      <c r="O126" s="241"/>
      <c r="P126" s="25">
        <f t="shared" si="38"/>
        <v>11.910096979503749</v>
      </c>
      <c r="Q126" s="214">
        <f t="shared" si="39"/>
        <v>-0.47839777079224688</v>
      </c>
      <c r="R126" s="214">
        <f t="shared" si="40"/>
        <v>-116.47367756275892</v>
      </c>
      <c r="S126" s="214">
        <f t="shared" si="41"/>
        <v>123.07598053553417</v>
      </c>
      <c r="T126" s="245">
        <f t="shared" si="23"/>
        <v>3.0481324161464583E-6</v>
      </c>
    </row>
    <row r="127" spans="8:20" x14ac:dyDescent="0.2">
      <c r="H127" s="2">
        <f t="shared" si="34"/>
        <v>1.6788274288982239E-3</v>
      </c>
      <c r="I127" s="114">
        <f t="shared" si="29"/>
        <v>2.7428434072581505</v>
      </c>
      <c r="J127" s="242">
        <f t="shared" si="30"/>
        <v>61.091119549297972</v>
      </c>
      <c r="K127" s="242">
        <f t="shared" si="35"/>
        <v>-58.544360427307836</v>
      </c>
      <c r="L127" s="2">
        <f t="shared" si="36"/>
        <v>-12.340406148958191</v>
      </c>
      <c r="M127">
        <f t="shared" si="37"/>
        <v>3.4532408780098662</v>
      </c>
      <c r="N127" s="241"/>
      <c r="O127" s="241"/>
      <c r="P127" s="25">
        <f t="shared" si="38"/>
        <v>11.946593227958058</v>
      </c>
      <c r="Q127" s="214">
        <f t="shared" si="39"/>
        <v>-0.84764778933409746</v>
      </c>
      <c r="R127" s="214">
        <f t="shared" si="40"/>
        <v>-112.65417609466445</v>
      </c>
      <c r="S127" s="214">
        <f t="shared" si="41"/>
        <v>119.72136497921301</v>
      </c>
      <c r="T127" s="245">
        <f t="shared" si="23"/>
        <v>1.6043721874708205E-5</v>
      </c>
    </row>
    <row r="128" spans="8:20" x14ac:dyDescent="0.2">
      <c r="H128" s="2">
        <f t="shared" si="34"/>
        <v>1.7153236773525332E-3</v>
      </c>
      <c r="I128" s="114">
        <f t="shared" si="29"/>
        <v>2.9158015516903664</v>
      </c>
      <c r="J128" s="242">
        <f t="shared" si="30"/>
        <v>46.939028508553669</v>
      </c>
      <c r="K128" s="242">
        <f t="shared" si="35"/>
        <v>-44.610023755244434</v>
      </c>
      <c r="L128" s="2">
        <f t="shared" si="36"/>
        <v>-9.4816837587278417</v>
      </c>
      <c r="M128">
        <f t="shared" si="37"/>
        <v>3.6709952466907643</v>
      </c>
      <c r="N128" s="241"/>
      <c r="O128" s="241"/>
      <c r="P128" s="25">
        <f t="shared" si="38"/>
        <v>11.983089476412367</v>
      </c>
      <c r="Q128" s="214">
        <f t="shared" si="39"/>
        <v>-1.2015890197627466</v>
      </c>
      <c r="R128" s="214">
        <f t="shared" si="40"/>
        <v>-107.08325734521088</v>
      </c>
      <c r="S128" s="214">
        <f t="shared" si="41"/>
        <v>114.59605837155908</v>
      </c>
      <c r="T128" s="245">
        <f t="shared" si="23"/>
        <v>3.8315326401772941E-5</v>
      </c>
    </row>
    <row r="129" spans="8:21" x14ac:dyDescent="0.2">
      <c r="H129" s="2">
        <f t="shared" si="34"/>
        <v>1.7518199258068424E-3</v>
      </c>
      <c r="I129" s="114">
        <f t="shared" si="29"/>
        <v>3.041973066918553</v>
      </c>
      <c r="J129" s="242">
        <f t="shared" si="30"/>
        <v>32.124423844539955</v>
      </c>
      <c r="K129" s="242">
        <f t="shared" si="35"/>
        <v>-29.954269076203779</v>
      </c>
      <c r="L129" s="2">
        <f t="shared" si="36"/>
        <v>-6.489133616597071</v>
      </c>
      <c r="M129">
        <f t="shared" si="37"/>
        <v>3.8298452316638261</v>
      </c>
      <c r="N129" s="241"/>
      <c r="O129" s="241"/>
      <c r="P129" s="25">
        <f t="shared" si="38"/>
        <v>12.019585724866676</v>
      </c>
      <c r="Q129" s="214">
        <f t="shared" si="39"/>
        <v>-1.5347365031978908</v>
      </c>
      <c r="R129" s="214">
        <f t="shared" si="40"/>
        <v>-99.85791844206156</v>
      </c>
      <c r="S129" s="214">
        <f t="shared" si="41"/>
        <v>107.79015227494915</v>
      </c>
      <c r="T129" s="245">
        <f t="shared" si="23"/>
        <v>6.8316208576039647E-5</v>
      </c>
    </row>
    <row r="130" spans="8:21" x14ac:dyDescent="0.2">
      <c r="H130" s="2">
        <f t="shared" si="34"/>
        <v>1.7883161742611516E-3</v>
      </c>
      <c r="I130" s="114">
        <f t="shared" si="29"/>
        <v>3.1196239441882674</v>
      </c>
      <c r="J130" s="242">
        <f t="shared" si="30"/>
        <v>16.883861412675831</v>
      </c>
      <c r="K130" s="242">
        <f t="shared" si="35"/>
        <v>-14.811469127932972</v>
      </c>
      <c r="L130" s="2">
        <f t="shared" si="36"/>
        <v>-3.4105400053605179</v>
      </c>
      <c r="M130">
        <f t="shared" si="37"/>
        <v>3.9276077152571403</v>
      </c>
      <c r="N130" s="241"/>
      <c r="O130" s="241"/>
      <c r="P130" s="25">
        <f t="shared" si="38"/>
        <v>12.056081973320985</v>
      </c>
      <c r="Q130" s="214">
        <f t="shared" si="39"/>
        <v>-1.8419616944165602</v>
      </c>
      <c r="R130" s="214">
        <f t="shared" si="40"/>
        <v>-91.100658557923126</v>
      </c>
      <c r="S130" s="214">
        <f t="shared" si="41"/>
        <v>99.419689021731486</v>
      </c>
      <c r="T130" s="245">
        <f t="shared" si="23"/>
        <v>1.0403338393360118E-4</v>
      </c>
    </row>
    <row r="131" spans="8:21" x14ac:dyDescent="0.2">
      <c r="H131" s="2">
        <f t="shared" si="34"/>
        <v>1.8248124227154608E-3</v>
      </c>
      <c r="I131" s="114">
        <f t="shared" si="29"/>
        <v>3.147792606794086</v>
      </c>
      <c r="J131" s="242">
        <f t="shared" si="30"/>
        <v>1.4593303367130206</v>
      </c>
      <c r="K131" s="242">
        <f t="shared" si="35"/>
        <v>0.57759759124888888</v>
      </c>
      <c r="L131" s="2">
        <f t="shared" si="36"/>
        <v>-0.29478472801603017</v>
      </c>
      <c r="M131">
        <f t="shared" si="37"/>
        <v>3.9630720720380905</v>
      </c>
      <c r="N131" s="241"/>
      <c r="O131" s="241"/>
      <c r="P131" s="25">
        <f t="shared" si="38"/>
        <v>12.092578221775296</v>
      </c>
      <c r="Q131" s="214">
        <f t="shared" si="39"/>
        <v>-2.1185712174224056</v>
      </c>
      <c r="R131" s="214">
        <f t="shared" si="40"/>
        <v>-80.957415682057999</v>
      </c>
      <c r="S131" s="214">
        <f t="shared" si="41"/>
        <v>89.624697639029606</v>
      </c>
      <c r="T131" s="245">
        <f t="shared" si="23"/>
        <v>1.4311840461156977E-4</v>
      </c>
    </row>
    <row r="132" spans="8:21" x14ac:dyDescent="0.2">
      <c r="H132" s="2">
        <f t="shared" si="34"/>
        <v>1.86130867116977E-3</v>
      </c>
      <c r="I132" s="114">
        <f t="shared" si="29"/>
        <v>3.1263008990675698</v>
      </c>
      <c r="J132" s="242">
        <f t="shared" si="30"/>
        <v>-13.905582165984949</v>
      </c>
      <c r="K132" s="242">
        <f t="shared" si="35"/>
        <v>15.969568162031626</v>
      </c>
      <c r="L132" s="2">
        <f t="shared" si="36"/>
        <v>2.8089275975289598</v>
      </c>
      <c r="M132">
        <f t="shared" si="37"/>
        <v>3.9360140039533231</v>
      </c>
      <c r="N132" s="241"/>
      <c r="O132" s="241"/>
      <c r="P132" s="25">
        <f t="shared" si="38"/>
        <v>12.129074470229604</v>
      </c>
      <c r="Q132" s="214">
        <f t="shared" si="39"/>
        <v>-2.3603783549235766</v>
      </c>
      <c r="R132" s="214">
        <f t="shared" si="40"/>
        <v>-69.595145782927588</v>
      </c>
      <c r="S132" s="214">
        <f t="shared" si="41"/>
        <v>78.566863016664882</v>
      </c>
      <c r="T132" s="245">
        <f t="shared" si="23"/>
        <v>1.8303771217404396E-4</v>
      </c>
    </row>
    <row r="133" spans="8:21" x14ac:dyDescent="0.2">
      <c r="H133" s="2">
        <f t="shared" si="34"/>
        <v>1.8978049196240793E-3</v>
      </c>
      <c r="I133" s="114">
        <f t="shared" si="29"/>
        <v>3.0557526946199722</v>
      </c>
      <c r="J133" s="242">
        <f t="shared" si="30"/>
        <v>-28.969530563872187</v>
      </c>
      <c r="K133" s="242">
        <f t="shared" si="35"/>
        <v>31.122336775766392</v>
      </c>
      <c r="L133" s="2">
        <f t="shared" si="36"/>
        <v>5.8518451739021824</v>
      </c>
      <c r="M133">
        <f t="shared" si="37"/>
        <v>3.8471937881057938</v>
      </c>
      <c r="N133" s="241"/>
      <c r="O133" s="241"/>
      <c r="P133" s="25">
        <f t="shared" si="38"/>
        <v>12.165570718683913</v>
      </c>
      <c r="Q133" s="214">
        <f t="shared" si="39"/>
        <v>-2.5637661862050627</v>
      </c>
      <c r="R133" s="214">
        <f t="shared" si="40"/>
        <v>-57.19908435210926</v>
      </c>
      <c r="S133" s="214">
        <f t="shared" si="41"/>
        <v>66.426866941678554</v>
      </c>
      <c r="T133" s="245">
        <f t="shared" si="23"/>
        <v>2.2123295397091989E-4</v>
      </c>
    </row>
    <row r="134" spans="8:21" x14ac:dyDescent="0.2">
      <c r="H134" s="2">
        <f t="shared" si="34"/>
        <v>1.9343011680783885E-3</v>
      </c>
      <c r="I134" s="114">
        <f t="shared" si="29"/>
        <v>2.9375202120070343</v>
      </c>
      <c r="J134" s="242">
        <f t="shared" si="30"/>
        <v>-43.497194977322678</v>
      </c>
      <c r="K134" s="242">
        <f t="shared" si="35"/>
        <v>45.79885592915106</v>
      </c>
      <c r="L134" s="2">
        <f t="shared" si="36"/>
        <v>8.7864333854191816</v>
      </c>
      <c r="M134">
        <f t="shared" si="37"/>
        <v>3.6983390481716154</v>
      </c>
      <c r="N134" s="241"/>
      <c r="O134" s="241"/>
      <c r="P134" s="25">
        <f t="shared" si="38"/>
        <v>12.202066967138222</v>
      </c>
      <c r="Q134" s="214">
        <f t="shared" si="39"/>
        <v>-2.7257414250493532</v>
      </c>
      <c r="R134" s="214">
        <f t="shared" si="40"/>
        <v>-43.969735101169718</v>
      </c>
      <c r="S134" s="214">
        <f t="shared" si="41"/>
        <v>53.401444577167297</v>
      </c>
      <c r="T134" s="245">
        <f t="shared" si="23"/>
        <v>2.5528113725008055E-4</v>
      </c>
    </row>
    <row r="135" spans="8:21" x14ac:dyDescent="0.2">
      <c r="H135" s="2">
        <f t="shared" si="34"/>
        <v>1.9707974165326975E-3</v>
      </c>
      <c r="I135" s="114">
        <f t="shared" si="29"/>
        <v>2.7737183188531183</v>
      </c>
      <c r="J135" s="242">
        <f t="shared" si="30"/>
        <v>-57.262950114653819</v>
      </c>
      <c r="K135" s="242">
        <f t="shared" si="35"/>
        <v>59.770837711371108</v>
      </c>
      <c r="L135" s="2">
        <f t="shared" si="36"/>
        <v>11.567115923160072</v>
      </c>
      <c r="M135">
        <f t="shared" si="37"/>
        <v>3.4921124032827082</v>
      </c>
      <c r="N135" s="241"/>
      <c r="O135" s="241"/>
      <c r="P135" s="25">
        <f t="shared" si="38"/>
        <v>12.238563215592531</v>
      </c>
      <c r="Q135" s="214">
        <f t="shared" si="39"/>
        <v>-2.8439781607088941</v>
      </c>
      <c r="R135" s="214">
        <f t="shared" si="40"/>
        <v>-30.1196346349364</v>
      </c>
      <c r="S135" s="214">
        <f t="shared" si="41"/>
        <v>39.700204205455428</v>
      </c>
      <c r="T135" s="245">
        <f t="shared" si="23"/>
        <v>2.8304461350604261E-4</v>
      </c>
    </row>
    <row r="136" spans="8:21" x14ac:dyDescent="0.2">
      <c r="H136" s="2">
        <f t="shared" si="34"/>
        <v>2.0072936649870067E-3</v>
      </c>
      <c r="I136" s="114">
        <f t="shared" si="29"/>
        <v>2.5671672928891764</v>
      </c>
      <c r="J136" s="242">
        <f t="shared" si="30"/>
        <v>-70.0543620875561</v>
      </c>
      <c r="K136" s="242">
        <f t="shared" si="35"/>
        <v>72.822297503396456</v>
      </c>
      <c r="L136" s="2">
        <f t="shared" si="36"/>
        <v>14.150981141686334</v>
      </c>
      <c r="M136">
        <f t="shared" si="37"/>
        <v>3.2320645841596423</v>
      </c>
      <c r="N136" s="241"/>
      <c r="O136" s="241"/>
      <c r="P136" s="25">
        <f t="shared" si="38"/>
        <v>12.275059464046841</v>
      </c>
      <c r="Q136" s="214">
        <f t="shared" si="39"/>
        <v>-2.9168508680086358</v>
      </c>
      <c r="R136" s="214">
        <f t="shared" si="40"/>
        <v>-15.869945186765849</v>
      </c>
      <c r="S136" s="214">
        <f t="shared" si="41"/>
        <v>25.542261523094695</v>
      </c>
      <c r="T136" s="245">
        <f t="shared" si="23"/>
        <v>3.0280162799187248E-4</v>
      </c>
    </row>
    <row r="137" spans="8:21" x14ac:dyDescent="0.2">
      <c r="H137" s="2">
        <f t="shared" si="34"/>
        <v>2.0437899134413159E-3</v>
      </c>
      <c r="I137" s="114">
        <f t="shared" si="29"/>
        <v>2.3213446874049741</v>
      </c>
      <c r="J137" s="242">
        <f t="shared" si="30"/>
        <v>-81.675459028203662</v>
      </c>
      <c r="K137" s="242">
        <f t="shared" si="35"/>
        <v>84.752885196505716</v>
      </c>
      <c r="L137" s="2">
        <f t="shared" si="36"/>
        <v>16.498442723697142</v>
      </c>
      <c r="M137">
        <f t="shared" si="37"/>
        <v>2.9225738316979419</v>
      </c>
      <c r="N137" s="241"/>
      <c r="O137" s="241"/>
      <c r="P137" s="25">
        <f t="shared" si="38"/>
        <v>12.31155571250115</v>
      </c>
      <c r="Q137" s="214">
        <f t="shared" si="39"/>
        <v>-2.9434562248293816</v>
      </c>
      <c r="R137" s="214">
        <f t="shared" si="40"/>
        <v>-1.4469299268805731</v>
      </c>
      <c r="S137" s="214">
        <f t="shared" si="41"/>
        <v>11.152742417420891</v>
      </c>
      <c r="T137" s="245">
        <f t="shared" si="23"/>
        <v>3.1334948288384146E-4</v>
      </c>
    </row>
    <row r="138" spans="8:21" x14ac:dyDescent="0.2">
      <c r="H138" s="2">
        <f t="shared" si="34"/>
        <v>2.0802861618956251E-3</v>
      </c>
      <c r="I138" s="114">
        <f t="shared" si="29"/>
        <v>2.04032711651928</v>
      </c>
      <c r="J138" s="242">
        <f t="shared" si="30"/>
        <v>-91.949725277542399</v>
      </c>
      <c r="K138" s="242">
        <f t="shared" si="35"/>
        <v>95.380952672940964</v>
      </c>
      <c r="L138" s="2">
        <f t="shared" si="36"/>
        <v>18.573844506063566</v>
      </c>
      <c r="M138">
        <f t="shared" si="37"/>
        <v>2.568772604601429</v>
      </c>
      <c r="N138" s="241"/>
      <c r="O138" s="241"/>
      <c r="P138" s="25"/>
      <c r="Q138" s="214"/>
      <c r="R138" s="214"/>
      <c r="S138" s="214"/>
    </row>
    <row r="139" spans="8:21" x14ac:dyDescent="0.2">
      <c r="H139" s="2">
        <f t="shared" si="34"/>
        <v>2.1167824103499344E-3</v>
      </c>
      <c r="I139" s="114">
        <f t="shared" si="29"/>
        <v>1.7287229298513203</v>
      </c>
      <c r="J139" s="242">
        <f t="shared" si="30"/>
        <v>-100.72277353091286</v>
      </c>
      <c r="K139" s="242">
        <f t="shared" si="35"/>
        <v>104.54631071414451</v>
      </c>
      <c r="L139" s="2">
        <f t="shared" si="36"/>
        <v>20.346000253244398</v>
      </c>
      <c r="M139">
        <f t="shared" si="37"/>
        <v>2.1764628167683457</v>
      </c>
      <c r="N139" s="241"/>
      <c r="O139" s="241"/>
      <c r="P139" s="25"/>
      <c r="Q139" s="214"/>
      <c r="R139" s="214"/>
      <c r="S139" s="214" t="s">
        <v>687</v>
      </c>
      <c r="T139">
        <f>SQRT(SUM(T36:T137))/(0.001*P137)</f>
        <v>21.684966890371953</v>
      </c>
      <c r="U139" t="s">
        <v>895</v>
      </c>
    </row>
    <row r="140" spans="8:21" x14ac:dyDescent="0.2">
      <c r="H140" s="2">
        <f t="shared" si="34"/>
        <v>2.1532786588042436E-3</v>
      </c>
      <c r="I140" s="114">
        <f t="shared" si="29"/>
        <v>1.3915968842810111</v>
      </c>
      <c r="J140" s="242">
        <f t="shared" si="30"/>
        <v>-107.86465463655014</v>
      </c>
      <c r="K140" s="242">
        <f t="shared" si="35"/>
        <v>112.1126336375409</v>
      </c>
      <c r="L140" s="2">
        <f t="shared" si="36"/>
        <v>21.78866023658313</v>
      </c>
      <c r="M140">
        <f t="shared" si="37"/>
        <v>1.7520209990092475</v>
      </c>
      <c r="N140" s="241"/>
      <c r="O140" s="241"/>
      <c r="P140" s="25"/>
      <c r="Q140" s="214"/>
      <c r="R140" s="214"/>
      <c r="S140" s="214"/>
    </row>
    <row r="141" spans="8:21" x14ac:dyDescent="0.2">
      <c r="H141" s="2">
        <f t="shared" si="34"/>
        <v>2.1897749072585528E-3</v>
      </c>
      <c r="I141" s="114">
        <f t="shared" si="29"/>
        <v>1.0343880404283023</v>
      </c>
      <c r="J141" s="242">
        <f t="shared" si="30"/>
        <v>-113.2717706573825</v>
      </c>
      <c r="K141" s="242">
        <f t="shared" si="35"/>
        <v>117.96947572669879</v>
      </c>
      <c r="L141" s="2">
        <f t="shared" si="36"/>
        <v>22.880897672791267</v>
      </c>
      <c r="M141">
        <f t="shared" si="37"/>
        <v>1.3022949306837142</v>
      </c>
      <c r="N141" s="241"/>
      <c r="O141" s="241"/>
      <c r="P141" s="25"/>
      <c r="Q141" s="214"/>
      <c r="R141" s="214"/>
      <c r="S141" s="214"/>
    </row>
    <row r="142" spans="8:21" x14ac:dyDescent="0.2">
      <c r="H142" s="2">
        <f t="shared" si="34"/>
        <v>2.226271155712862E-3</v>
      </c>
      <c r="I142" s="114">
        <f t="shared" si="29"/>
        <v>0.66282221147419085</v>
      </c>
      <c r="J142" s="242">
        <f t="shared" si="30"/>
        <v>-116.86836323065984</v>
      </c>
      <c r="K142" s="242">
        <f t="shared" si="35"/>
        <v>122.03386981792666</v>
      </c>
      <c r="L142" s="2">
        <f t="shared" si="36"/>
        <v>23.607409372593288</v>
      </c>
      <c r="M142">
        <f t="shared" si="37"/>
        <v>0.83449341273318667</v>
      </c>
      <c r="N142" s="241"/>
      <c r="O142" s="241"/>
      <c r="P142" s="25"/>
      <c r="Q142" s="214"/>
      <c r="R142" s="214"/>
      <c r="S142" s="214"/>
    </row>
    <row r="143" spans="8:21" x14ac:dyDescent="0.2">
      <c r="H143" s="2">
        <f t="shared" si="34"/>
        <v>2.2627674041671712E-3</v>
      </c>
      <c r="I143" s="114">
        <f t="shared" si="29"/>
        <v>0.28282037052141989</v>
      </c>
      <c r="J143" s="242">
        <f t="shared" si="30"/>
        <v>-118.60755608951354</v>
      </c>
      <c r="K143" s="242">
        <f t="shared" si="35"/>
        <v>124.25148513699979</v>
      </c>
      <c r="L143" s="2">
        <f t="shared" si="36"/>
        <v>23.958726330081735</v>
      </c>
      <c r="M143">
        <f t="shared" si="37"/>
        <v>0.35607095251374798</v>
      </c>
      <c r="N143" s="241"/>
      <c r="O143" s="241"/>
      <c r="P143" s="25"/>
      <c r="Q143" s="214"/>
      <c r="R143" s="214"/>
      <c r="S143" s="214"/>
    </row>
    <row r="144" spans="8:21" x14ac:dyDescent="0.2">
      <c r="H144" s="2">
        <f t="shared" si="34"/>
        <v>2.2992636526214805E-3</v>
      </c>
      <c r="I144" s="114">
        <f t="shared" si="29"/>
        <v>-9.959552126926173E-2</v>
      </c>
      <c r="J144" s="242">
        <f t="shared" si="30"/>
        <v>-118.47193773598984</v>
      </c>
      <c r="K144" s="242">
        <f t="shared" si="35"/>
        <v>124.59732853460547</v>
      </c>
      <c r="L144" s="2">
        <f t="shared" si="36"/>
        <v>23.931331422669949</v>
      </c>
      <c r="M144">
        <f t="shared" si="37"/>
        <v>-0.12539079861563018</v>
      </c>
      <c r="N144" s="241"/>
      <c r="O144" s="241"/>
      <c r="P144" s="25"/>
      <c r="Q144" s="214"/>
      <c r="R144" s="214"/>
      <c r="S144" s="214"/>
    </row>
    <row r="145" spans="8:19" x14ac:dyDescent="0.2">
      <c r="H145" s="2">
        <f t="shared" si="34"/>
        <v>2.3357599010757897E-3</v>
      </c>
      <c r="I145" s="114">
        <f t="shared" si="29"/>
        <v>-0.47839777079224688</v>
      </c>
      <c r="J145" s="242">
        <f t="shared" si="30"/>
        <v>-116.47367756275892</v>
      </c>
      <c r="K145" s="242">
        <f t="shared" si="35"/>
        <v>123.07598053553417</v>
      </c>
      <c r="L145" s="2">
        <f t="shared" si="36"/>
        <v>23.527682867677303</v>
      </c>
      <c r="M145">
        <f t="shared" si="37"/>
        <v>-0.60230297277525058</v>
      </c>
      <c r="N145" s="241"/>
      <c r="O145" s="241"/>
      <c r="P145" s="279"/>
      <c r="Q145" s="81"/>
      <c r="R145" s="81"/>
      <c r="S145" s="81"/>
    </row>
    <row r="146" spans="8:19" x14ac:dyDescent="0.2">
      <c r="H146" s="2">
        <f t="shared" si="34"/>
        <v>2.3722561495300989E-3</v>
      </c>
      <c r="I146" s="114">
        <f t="shared" si="29"/>
        <v>-0.84764778933409746</v>
      </c>
      <c r="J146" s="242">
        <f t="shared" si="30"/>
        <v>-112.65417609466445</v>
      </c>
      <c r="K146" s="242">
        <f t="shared" si="35"/>
        <v>119.72136497921301</v>
      </c>
      <c r="L146" s="2">
        <f t="shared" si="36"/>
        <v>22.75614357112222</v>
      </c>
      <c r="M146">
        <f t="shared" si="37"/>
        <v>-1.0671888845485613</v>
      </c>
      <c r="N146" s="241"/>
      <c r="O146" s="241"/>
      <c r="P146" s="279"/>
      <c r="Q146" s="81"/>
      <c r="R146" s="81"/>
      <c r="S146" s="81"/>
    </row>
    <row r="147" spans="8:19" x14ac:dyDescent="0.2">
      <c r="H147" s="2">
        <f t="shared" si="34"/>
        <v>2.4087523979844081E-3</v>
      </c>
      <c r="I147" s="114">
        <f t="shared" si="29"/>
        <v>-1.2015890197627466</v>
      </c>
      <c r="J147" s="242">
        <f t="shared" si="30"/>
        <v>-107.08325734521088</v>
      </c>
      <c r="K147" s="242">
        <f t="shared" si="35"/>
        <v>114.59605837155908</v>
      </c>
      <c r="L147" s="2">
        <f t="shared" si="36"/>
        <v>21.630817983732598</v>
      </c>
      <c r="M147">
        <f t="shared" si="37"/>
        <v>-1.512801026348199</v>
      </c>
      <c r="N147" s="241"/>
      <c r="O147" s="241"/>
      <c r="P147" s="279"/>
      <c r="Q147" s="81"/>
      <c r="R147" s="81"/>
      <c r="S147" s="81"/>
    </row>
    <row r="148" spans="8:19" x14ac:dyDescent="0.2">
      <c r="H148" s="2">
        <f t="shared" si="34"/>
        <v>2.4452486464387174E-3</v>
      </c>
      <c r="I148" s="114">
        <f t="shared" si="29"/>
        <v>-1.5347365031978908</v>
      </c>
      <c r="J148" s="242">
        <f t="shared" si="30"/>
        <v>-99.85791844206156</v>
      </c>
      <c r="K148" s="242">
        <f t="shared" si="35"/>
        <v>107.79015227494915</v>
      </c>
      <c r="L148" s="2">
        <f t="shared" si="36"/>
        <v>20.171299525296437</v>
      </c>
      <c r="M148">
        <f t="shared" si="37"/>
        <v>-1.932233832887591</v>
      </c>
      <c r="N148" s="241"/>
      <c r="O148" s="241"/>
      <c r="P148" s="279"/>
      <c r="Q148" s="81"/>
      <c r="R148" s="81"/>
      <c r="S148" s="81"/>
    </row>
    <row r="149" spans="8:19" x14ac:dyDescent="0.2">
      <c r="H149" s="2">
        <f t="shared" si="34"/>
        <v>2.4817448948930266E-3</v>
      </c>
      <c r="I149" s="114">
        <f t="shared" si="29"/>
        <v>-1.8419616944165602</v>
      </c>
      <c r="J149" s="242">
        <f t="shared" si="30"/>
        <v>-91.100658557923126</v>
      </c>
      <c r="K149" s="242">
        <f t="shared" si="35"/>
        <v>99.419689021731486</v>
      </c>
      <c r="L149" s="2">
        <f t="shared" si="36"/>
        <v>18.402333028700472</v>
      </c>
      <c r="M149">
        <f t="shared" si="37"/>
        <v>-2.3190304638083643</v>
      </c>
      <c r="N149" s="241"/>
      <c r="O149" s="241"/>
      <c r="P149" s="279"/>
      <c r="Q149" s="81"/>
      <c r="R149" s="81"/>
      <c r="S149" s="81"/>
    </row>
    <row r="150" spans="8:19" x14ac:dyDescent="0.2">
      <c r="H150" s="2">
        <f t="shared" si="34"/>
        <v>2.5182411433473358E-3</v>
      </c>
      <c r="I150" s="114">
        <f t="shared" si="29"/>
        <v>-2.1185712174224056</v>
      </c>
      <c r="J150" s="242">
        <f t="shared" si="30"/>
        <v>-80.957415682057999</v>
      </c>
      <c r="K150" s="242">
        <f t="shared" si="35"/>
        <v>89.624697639029606</v>
      </c>
      <c r="L150" s="2">
        <f t="shared" si="36"/>
        <v>16.353397967775717</v>
      </c>
      <c r="M150">
        <f t="shared" si="37"/>
        <v>-2.6672819569716029</v>
      </c>
      <c r="N150" s="241"/>
      <c r="O150" s="241"/>
      <c r="P150" s="279">
        <f>1000*($H$61+$H$87+H205)</f>
        <v>9.7933145691538144</v>
      </c>
      <c r="Q150" s="81">
        <f>I205/(E$70/E$194)</f>
        <v>2.6513481219639328</v>
      </c>
      <c r="R150" s="81">
        <f>J205</f>
        <v>-45.338584006205082</v>
      </c>
      <c r="S150" s="81">
        <f>K205</f>
        <v>0</v>
      </c>
    </row>
    <row r="151" spans="8:19" x14ac:dyDescent="0.2">
      <c r="H151" s="2">
        <f t="shared" si="34"/>
        <v>2.554737391801645E-3</v>
      </c>
      <c r="I151" s="114">
        <f t="shared" si="29"/>
        <v>-2.3603783549235766</v>
      </c>
      <c r="J151" s="242">
        <f t="shared" si="30"/>
        <v>-69.595145782927588</v>
      </c>
      <c r="K151" s="242">
        <f t="shared" si="35"/>
        <v>78.566863016664882</v>
      </c>
      <c r="L151" s="2">
        <f t="shared" si="36"/>
        <v>14.058219448151373</v>
      </c>
      <c r="M151">
        <f t="shared" si="37"/>
        <v>-2.9717172337372975</v>
      </c>
      <c r="N151" s="241"/>
      <c r="O151" s="241"/>
      <c r="P151" s="279"/>
      <c r="Q151" s="81"/>
      <c r="R151" s="81"/>
      <c r="S151" s="81"/>
    </row>
    <row r="152" spans="8:19" x14ac:dyDescent="0.2">
      <c r="H152" s="2">
        <f t="shared" si="34"/>
        <v>2.5912336402559542E-3</v>
      </c>
      <c r="I152" s="114">
        <f t="shared" si="29"/>
        <v>-2.5637661862050627</v>
      </c>
      <c r="J152" s="242">
        <f t="shared" si="30"/>
        <v>-57.19908435210926</v>
      </c>
      <c r="K152" s="242">
        <f t="shared" si="35"/>
        <v>66.426866941678554</v>
      </c>
      <c r="L152" s="2">
        <f t="shared" si="36"/>
        <v>11.554215039126071</v>
      </c>
      <c r="M152">
        <f t="shared" si="37"/>
        <v>-3.2277825895692933</v>
      </c>
      <c r="N152" s="241"/>
      <c r="O152" s="241"/>
      <c r="P152" s="279"/>
      <c r="Q152" s="81"/>
      <c r="R152" s="81"/>
      <c r="S152" s="81"/>
    </row>
    <row r="153" spans="8:19" x14ac:dyDescent="0.2">
      <c r="H153" s="2">
        <f t="shared" si="34"/>
        <v>2.6277298887102635E-3</v>
      </c>
      <c r="I153" s="114">
        <f t="shared" si="29"/>
        <v>-2.7257414250493532</v>
      </c>
      <c r="J153" s="242">
        <f t="shared" si="30"/>
        <v>-43.969735101169718</v>
      </c>
      <c r="K153" s="242">
        <f t="shared" si="35"/>
        <v>53.401444577167297</v>
      </c>
      <c r="L153" s="2">
        <f t="shared" si="36"/>
        <v>8.8818864904362833</v>
      </c>
      <c r="M153">
        <f t="shared" si="37"/>
        <v>-3.4317094759975828</v>
      </c>
      <c r="N153" s="241"/>
      <c r="O153" s="241"/>
      <c r="P153" s="279"/>
      <c r="Q153" s="81"/>
      <c r="R153" s="81"/>
      <c r="S153" s="81"/>
    </row>
    <row r="154" spans="8:19" x14ac:dyDescent="0.2">
      <c r="H154" s="2">
        <f t="shared" si="34"/>
        <v>2.6642261371645727E-3</v>
      </c>
      <c r="I154" s="114">
        <f t="shared" si="29"/>
        <v>-2.8439781607088941</v>
      </c>
      <c r="J154" s="242">
        <f t="shared" si="30"/>
        <v>-30.1196346349364</v>
      </c>
      <c r="K154" s="242">
        <f t="shared" si="35"/>
        <v>39.700204205455428</v>
      </c>
      <c r="L154" s="2">
        <f t="shared" si="36"/>
        <v>6.0841661962571534</v>
      </c>
      <c r="M154">
        <f t="shared" si="37"/>
        <v>-3.5805695705190286</v>
      </c>
      <c r="N154" s="241"/>
      <c r="O154" s="241"/>
      <c r="P154" s="279"/>
      <c r="Q154" s="81"/>
      <c r="R154" s="81"/>
      <c r="S154" s="81"/>
    </row>
    <row r="155" spans="8:19" x14ac:dyDescent="0.2">
      <c r="H155" s="2">
        <f t="shared" si="34"/>
        <v>2.7007223856188819E-3</v>
      </c>
      <c r="I155" s="114">
        <f t="shared" si="29"/>
        <v>-2.9168508680086358</v>
      </c>
      <c r="J155" s="242">
        <f t="shared" si="30"/>
        <v>-15.869945186765849</v>
      </c>
      <c r="K155" s="242">
        <f t="shared" si="35"/>
        <v>25.542261523094695</v>
      </c>
      <c r="L155" s="2">
        <f t="shared" si="36"/>
        <v>3.2057289277267018</v>
      </c>
      <c r="M155">
        <f t="shared" si="37"/>
        <v>-3.6723163363288465</v>
      </c>
      <c r="N155" s="241"/>
      <c r="O155" s="241"/>
      <c r="P155" s="279"/>
      <c r="Q155" s="81"/>
      <c r="R155" s="81"/>
      <c r="S155" s="81"/>
    </row>
    <row r="156" spans="8:19" x14ac:dyDescent="0.2">
      <c r="H156" s="2">
        <f t="shared" si="34"/>
        <v>2.7372186340731911E-3</v>
      </c>
      <c r="I156" s="114">
        <f t="shared" si="29"/>
        <v>-2.9434562248293816</v>
      </c>
      <c r="J156" s="242">
        <f t="shared" si="30"/>
        <v>-1.4469299268805731</v>
      </c>
      <c r="K156" s="242">
        <f t="shared" si="35"/>
        <v>11.152742417420891</v>
      </c>
      <c r="L156" s="2">
        <f t="shared" si="36"/>
        <v>0.29227984522987577</v>
      </c>
      <c r="M156">
        <f t="shared" si="37"/>
        <v>-3.7058124905403185</v>
      </c>
      <c r="N156" s="241"/>
      <c r="O156" s="241"/>
      <c r="P156" s="279"/>
      <c r="Q156" s="81"/>
      <c r="R156" s="81"/>
      <c r="S156" s="81"/>
    </row>
    <row r="157" spans="8:19" x14ac:dyDescent="0.2">
      <c r="H157" s="2"/>
      <c r="I157" s="241"/>
      <c r="J157" s="241"/>
      <c r="K157" s="241"/>
      <c r="M157" s="25"/>
      <c r="N157" s="241"/>
      <c r="O157" s="241"/>
      <c r="P157" s="279"/>
      <c r="Q157" s="81"/>
      <c r="R157" s="81"/>
      <c r="S157" s="81"/>
    </row>
    <row r="158" spans="8:19" x14ac:dyDescent="0.2">
      <c r="H158" s="2"/>
      <c r="I158" s="241"/>
      <c r="J158" s="241"/>
      <c r="K158" s="241"/>
      <c r="M158" s="25"/>
      <c r="N158" s="241"/>
      <c r="O158" s="241"/>
      <c r="P158" s="279"/>
      <c r="Q158" s="81"/>
      <c r="R158" s="81"/>
      <c r="S158" s="81"/>
    </row>
    <row r="159" spans="8:19" x14ac:dyDescent="0.2">
      <c r="H159" s="2"/>
      <c r="I159" s="241"/>
      <c r="J159" s="241"/>
      <c r="K159" s="241"/>
      <c r="M159" s="25"/>
      <c r="N159" s="241"/>
      <c r="O159" s="241"/>
      <c r="P159" s="279"/>
      <c r="Q159" s="81"/>
      <c r="R159" s="81"/>
      <c r="S159" s="81"/>
    </row>
    <row r="160" spans="8:19" x14ac:dyDescent="0.2">
      <c r="H160" s="2"/>
      <c r="I160" s="241"/>
      <c r="J160" s="241"/>
      <c r="K160" s="241"/>
      <c r="P160" s="279"/>
      <c r="Q160" s="81"/>
      <c r="R160" s="81"/>
      <c r="S160" s="81"/>
    </row>
    <row r="161" spans="8:19" x14ac:dyDescent="0.2">
      <c r="H161" s="2"/>
      <c r="I161" s="241"/>
      <c r="J161" s="241"/>
      <c r="K161" s="241"/>
      <c r="N161" s="241"/>
      <c r="O161" s="241"/>
      <c r="P161" s="279"/>
      <c r="Q161" s="81"/>
      <c r="R161" s="81"/>
      <c r="S161" s="81"/>
    </row>
    <row r="162" spans="8:19" x14ac:dyDescent="0.2">
      <c r="H162" s="2"/>
      <c r="I162" s="241"/>
      <c r="J162" s="241"/>
      <c r="K162" s="241"/>
      <c r="N162" s="241"/>
      <c r="O162" s="241"/>
      <c r="P162" s="279"/>
      <c r="Q162" s="81"/>
      <c r="R162" s="81"/>
      <c r="S162" s="81"/>
    </row>
    <row r="163" spans="8:19" x14ac:dyDescent="0.2">
      <c r="H163" s="2"/>
      <c r="I163" s="241"/>
      <c r="J163" s="241"/>
      <c r="K163" s="241"/>
      <c r="N163" s="241"/>
      <c r="O163" s="241"/>
      <c r="P163" s="279"/>
      <c r="Q163" s="81"/>
      <c r="R163" s="81"/>
      <c r="S163" s="81"/>
    </row>
    <row r="164" spans="8:19" x14ac:dyDescent="0.2">
      <c r="H164" s="2"/>
      <c r="I164" s="241"/>
      <c r="J164" s="241"/>
      <c r="K164" s="241"/>
      <c r="N164" s="241"/>
      <c r="O164" s="241"/>
      <c r="P164" s="279"/>
      <c r="Q164" s="81"/>
      <c r="R164" s="81"/>
      <c r="S164" s="81"/>
    </row>
    <row r="165" spans="8:19" x14ac:dyDescent="0.2">
      <c r="H165" s="2"/>
      <c r="I165" s="241"/>
      <c r="J165" s="241"/>
      <c r="K165" s="241"/>
      <c r="N165" s="241"/>
      <c r="O165" s="241"/>
      <c r="P165" s="279"/>
      <c r="Q165" s="81"/>
      <c r="R165" s="81"/>
      <c r="S165" s="81"/>
    </row>
    <row r="166" spans="8:19" x14ac:dyDescent="0.2">
      <c r="H166" s="2"/>
      <c r="I166" s="241"/>
      <c r="J166" s="241"/>
      <c r="K166" s="241"/>
      <c r="N166" s="241"/>
      <c r="O166" s="241"/>
      <c r="P166" s="279"/>
      <c r="Q166" s="81"/>
      <c r="R166" s="81"/>
      <c r="S166" s="81"/>
    </row>
    <row r="167" spans="8:19" x14ac:dyDescent="0.2">
      <c r="H167" s="2"/>
      <c r="I167" s="241"/>
      <c r="J167" s="241"/>
      <c r="K167" s="241"/>
      <c r="N167" s="241"/>
      <c r="O167" s="241"/>
      <c r="P167" s="279"/>
      <c r="Q167" s="81"/>
      <c r="R167" s="81"/>
      <c r="S167" s="81"/>
    </row>
    <row r="168" spans="8:19" x14ac:dyDescent="0.2">
      <c r="H168" s="2"/>
      <c r="I168" s="241"/>
      <c r="J168" s="241"/>
      <c r="K168" s="241"/>
      <c r="N168" s="241"/>
      <c r="O168" s="241"/>
      <c r="P168" s="279"/>
      <c r="Q168" s="81"/>
      <c r="R168" s="81"/>
      <c r="S168" s="81"/>
    </row>
    <row r="169" spans="8:19" x14ac:dyDescent="0.2">
      <c r="H169" s="2"/>
      <c r="I169" s="241"/>
      <c r="J169" s="241"/>
      <c r="K169" s="241"/>
      <c r="N169" s="241"/>
      <c r="O169" s="241"/>
      <c r="P169" s="279"/>
      <c r="Q169" s="81"/>
      <c r="R169" s="81"/>
      <c r="S169" s="81"/>
    </row>
    <row r="170" spans="8:19" x14ac:dyDescent="0.2">
      <c r="H170" s="2"/>
      <c r="I170" s="241"/>
      <c r="J170" s="241"/>
      <c r="K170" s="241"/>
      <c r="P170" s="279"/>
      <c r="Q170" s="81"/>
      <c r="R170" s="81"/>
      <c r="S170" s="81"/>
    </row>
    <row r="171" spans="8:19" x14ac:dyDescent="0.2">
      <c r="H171" s="2"/>
      <c r="I171" s="241"/>
      <c r="J171" s="241"/>
      <c r="K171" s="241"/>
      <c r="P171" s="279"/>
      <c r="Q171" s="81"/>
      <c r="R171" s="81"/>
      <c r="S171" s="81"/>
    </row>
    <row r="172" spans="8:19" x14ac:dyDescent="0.2">
      <c r="H172" s="2"/>
      <c r="I172" s="241"/>
      <c r="J172" s="241"/>
      <c r="K172" s="241"/>
      <c r="P172" s="279"/>
      <c r="Q172" s="81"/>
      <c r="R172" s="81"/>
      <c r="S172" s="81"/>
    </row>
    <row r="173" spans="8:19" x14ac:dyDescent="0.2">
      <c r="H173" s="2"/>
      <c r="I173" s="241"/>
      <c r="J173" s="241"/>
      <c r="K173" s="241"/>
      <c r="P173" s="279"/>
      <c r="Q173" s="81"/>
      <c r="R173" s="81"/>
      <c r="S173" s="81"/>
    </row>
    <row r="174" spans="8:19" x14ac:dyDescent="0.2">
      <c r="H174" s="2"/>
      <c r="I174" s="241"/>
      <c r="J174" s="241"/>
      <c r="K174" s="241"/>
      <c r="P174" s="279"/>
      <c r="Q174" s="81"/>
      <c r="R174" s="81"/>
      <c r="S174" s="81"/>
    </row>
    <row r="175" spans="8:19" x14ac:dyDescent="0.2">
      <c r="H175" s="2"/>
      <c r="I175" s="241"/>
      <c r="J175" s="241"/>
      <c r="K175" s="241"/>
      <c r="P175" s="279"/>
      <c r="Q175" s="81"/>
      <c r="R175" s="81"/>
      <c r="S175" s="81"/>
    </row>
    <row r="176" spans="8:19" x14ac:dyDescent="0.2">
      <c r="H176" s="2"/>
      <c r="I176" s="241"/>
      <c r="J176" s="241"/>
      <c r="K176" s="241"/>
      <c r="P176" s="279"/>
      <c r="Q176" s="81"/>
      <c r="R176" s="81"/>
      <c r="S176" s="81"/>
    </row>
    <row r="177" spans="1:19" x14ac:dyDescent="0.2">
      <c r="H177" s="2"/>
      <c r="I177" s="241"/>
      <c r="J177" s="241"/>
      <c r="K177" s="241"/>
      <c r="P177" s="279"/>
      <c r="Q177" s="81"/>
      <c r="R177" s="81"/>
      <c r="S177" s="81"/>
    </row>
    <row r="178" spans="1:19" x14ac:dyDescent="0.2">
      <c r="H178" s="2"/>
      <c r="I178" s="241"/>
      <c r="J178" s="241"/>
      <c r="K178" s="241"/>
      <c r="P178" s="279"/>
      <c r="Q178" s="81"/>
      <c r="R178" s="81"/>
      <c r="S178" s="81"/>
    </row>
    <row r="179" spans="1:19" x14ac:dyDescent="0.2">
      <c r="P179" s="279"/>
      <c r="Q179" s="81"/>
      <c r="R179" s="81"/>
      <c r="S179" s="81"/>
    </row>
    <row r="180" spans="1:19" x14ac:dyDescent="0.2">
      <c r="P180" s="279"/>
      <c r="Q180" s="81"/>
      <c r="R180" s="81"/>
      <c r="S180" s="81"/>
    </row>
    <row r="181" spans="1:19" x14ac:dyDescent="0.2">
      <c r="P181" s="279"/>
      <c r="Q181" s="81"/>
      <c r="R181" s="81"/>
      <c r="S181" s="81"/>
    </row>
    <row r="182" spans="1:19" x14ac:dyDescent="0.2">
      <c r="P182" s="279"/>
      <c r="Q182" s="81"/>
      <c r="R182" s="81"/>
      <c r="S182" s="81"/>
    </row>
    <row r="183" spans="1:19" x14ac:dyDescent="0.2">
      <c r="P183" s="279"/>
      <c r="Q183" s="81"/>
      <c r="R183" s="81"/>
      <c r="S183" s="81"/>
    </row>
    <row r="184" spans="1:19" x14ac:dyDescent="0.2">
      <c r="P184" s="279"/>
      <c r="Q184" s="81"/>
      <c r="R184" s="81"/>
      <c r="S184" s="81"/>
    </row>
    <row r="185" spans="1:19" x14ac:dyDescent="0.2">
      <c r="P185" s="279"/>
      <c r="Q185" s="81"/>
      <c r="R185" s="81"/>
      <c r="S185" s="81"/>
    </row>
    <row r="186" spans="1:19" x14ac:dyDescent="0.2">
      <c r="P186" s="279"/>
      <c r="Q186" s="81"/>
      <c r="R186" s="81"/>
      <c r="S186" s="81"/>
    </row>
    <row r="187" spans="1:19" x14ac:dyDescent="0.2">
      <c r="P187" s="279"/>
      <c r="Q187" s="81"/>
      <c r="R187" s="81"/>
      <c r="S187" s="81"/>
    </row>
    <row r="188" spans="1:19" x14ac:dyDescent="0.2">
      <c r="P188" s="279"/>
      <c r="Q188" s="81"/>
      <c r="R188" s="81"/>
      <c r="S188" s="81"/>
    </row>
    <row r="189" spans="1:19" ht="20.25" x14ac:dyDescent="0.3">
      <c r="A189" s="46" t="s">
        <v>387</v>
      </c>
      <c r="I189" s="241"/>
      <c r="J189" s="242" t="s">
        <v>198</v>
      </c>
      <c r="K189" s="241"/>
      <c r="P189" s="279"/>
      <c r="Q189" s="81"/>
      <c r="R189" s="81"/>
      <c r="S189" s="81"/>
    </row>
    <row r="190" spans="1:19" x14ac:dyDescent="0.2">
      <c r="I190" s="241"/>
      <c r="J190" s="278">
        <f>J193*(2*E194)</f>
        <v>22.76703377140068</v>
      </c>
      <c r="K190" s="241"/>
      <c r="P190" s="279"/>
      <c r="Q190" s="81"/>
      <c r="R190" s="81"/>
      <c r="S190" s="81"/>
    </row>
    <row r="191" spans="1:19" x14ac:dyDescent="0.2">
      <c r="A191" t="s">
        <v>200</v>
      </c>
      <c r="E191" s="33" t="s">
        <v>199</v>
      </c>
      <c r="G191" t="s">
        <v>201</v>
      </c>
      <c r="I191" s="241"/>
      <c r="J191" s="241"/>
      <c r="K191" s="241"/>
      <c r="P191" s="279"/>
      <c r="Q191" s="81"/>
      <c r="R191" s="81"/>
      <c r="S191" s="81"/>
    </row>
    <row r="192" spans="1:19" ht="14.25" x14ac:dyDescent="0.2">
      <c r="A192" s="33" t="s">
        <v>202</v>
      </c>
      <c r="B192" s="10">
        <f>B4</f>
        <v>6</v>
      </c>
      <c r="C192" t="s">
        <v>837</v>
      </c>
      <c r="D192" s="33" t="s">
        <v>202</v>
      </c>
      <c r="E192" s="10">
        <f>B4</f>
        <v>6</v>
      </c>
      <c r="F192" t="s">
        <v>837</v>
      </c>
      <c r="G192" s="236" t="s">
        <v>203</v>
      </c>
      <c r="H192" s="2">
        <f>J192*J192</f>
        <v>1279121.6426063143</v>
      </c>
      <c r="I192" s="243" t="s">
        <v>204</v>
      </c>
      <c r="J192" s="242">
        <f>E193/(2*E194)</f>
        <v>1130.9826004878742</v>
      </c>
      <c r="K192" s="244" t="s">
        <v>205</v>
      </c>
      <c r="P192" s="279"/>
      <c r="Q192" s="81"/>
      <c r="R192" s="81"/>
      <c r="S192" s="81"/>
    </row>
    <row r="193" spans="1:19" ht="15.75" x14ac:dyDescent="0.3">
      <c r="A193" s="33" t="s">
        <v>206</v>
      </c>
      <c r="B193" s="10">
        <f>F23</f>
        <v>2.3516659101343009</v>
      </c>
      <c r="C193" t="s">
        <v>965</v>
      </c>
      <c r="D193" s="33" t="s">
        <v>206</v>
      </c>
      <c r="E193" s="10">
        <f>F23</f>
        <v>2.3516659101343009</v>
      </c>
      <c r="F193" t="s">
        <v>965</v>
      </c>
      <c r="G193" s="147" t="s">
        <v>207</v>
      </c>
      <c r="H193" s="2">
        <f>1/(E194*E195)</f>
        <v>119887389.41726138</v>
      </c>
      <c r="I193" s="243" t="s">
        <v>208</v>
      </c>
      <c r="J193" s="242">
        <f>SQRT(H193)</f>
        <v>10949.309997313136</v>
      </c>
      <c r="K193" s="241"/>
      <c r="P193" s="279"/>
      <c r="Q193" s="81"/>
      <c r="R193" s="81"/>
      <c r="S193" s="81"/>
    </row>
    <row r="194" spans="1:19" x14ac:dyDescent="0.2">
      <c r="A194" s="33" t="s">
        <v>209</v>
      </c>
      <c r="B194" s="10">
        <f>1000*F24</f>
        <v>1.0396560959999994</v>
      </c>
      <c r="C194" t="s">
        <v>995</v>
      </c>
      <c r="D194" s="33" t="s">
        <v>209</v>
      </c>
      <c r="E194" s="10">
        <f>F24</f>
        <v>1.0396560959999995E-3</v>
      </c>
      <c r="F194" t="s">
        <v>898</v>
      </c>
      <c r="G194" s="2" t="s">
        <v>210</v>
      </c>
      <c r="H194" s="2">
        <f>E192/E194</f>
        <v>5771.1391517681277</v>
      </c>
      <c r="I194" s="241"/>
      <c r="J194" s="241"/>
      <c r="K194" s="241"/>
      <c r="P194" s="279"/>
      <c r="Q194" s="81"/>
      <c r="R194" s="81"/>
      <c r="S194" s="81"/>
    </row>
    <row r="195" spans="1:19" ht="15.75" x14ac:dyDescent="0.3">
      <c r="A195" s="33" t="s">
        <v>211</v>
      </c>
      <c r="B195" s="19">
        <f>F25*1000000</f>
        <v>8.0229999999999997</v>
      </c>
      <c r="C195" t="s">
        <v>1160</v>
      </c>
      <c r="D195" s="33" t="s">
        <v>211</v>
      </c>
      <c r="E195" s="10">
        <f>F25</f>
        <v>8.0229999999999992E-6</v>
      </c>
      <c r="F195" t="s">
        <v>212</v>
      </c>
      <c r="G195" s="113" t="s">
        <v>213</v>
      </c>
      <c r="H195" s="242">
        <f>J193/(2*PI())</f>
        <v>1742.6368095178927</v>
      </c>
      <c r="I195" s="241" t="s">
        <v>214</v>
      </c>
      <c r="J195" s="279">
        <f>1/H195</f>
        <v>5.7384303748103075E-4</v>
      </c>
      <c r="K195" s="241" t="s">
        <v>215</v>
      </c>
      <c r="L195" t="s">
        <v>399</v>
      </c>
      <c r="P195" s="279"/>
      <c r="Q195" s="81"/>
      <c r="R195" s="81"/>
      <c r="S195" s="81"/>
    </row>
    <row r="196" spans="1:19" x14ac:dyDescent="0.2">
      <c r="I196" s="241"/>
      <c r="J196" s="241"/>
      <c r="K196" s="241"/>
      <c r="L196" t="s">
        <v>393</v>
      </c>
      <c r="M196" t="s">
        <v>392</v>
      </c>
      <c r="N196" t="s">
        <v>391</v>
      </c>
      <c r="P196" s="279"/>
      <c r="Q196" s="81"/>
      <c r="R196" s="81"/>
      <c r="S196" s="81"/>
    </row>
    <row r="197" spans="1:19" x14ac:dyDescent="0.2">
      <c r="A197" t="s">
        <v>216</v>
      </c>
      <c r="B197" s="17">
        <v>0</v>
      </c>
      <c r="E197" t="s">
        <v>217</v>
      </c>
      <c r="I197" s="241"/>
      <c r="J197" s="241"/>
      <c r="K197" s="241"/>
      <c r="L197" s="87">
        <f>E69/E193</f>
        <v>0.53536532101226808</v>
      </c>
      <c r="M197" s="284">
        <f>E70/E194</f>
        <v>8.2338226428290024</v>
      </c>
      <c r="N197" s="123">
        <f>E71/E195</f>
        <v>1.2281423751754321</v>
      </c>
      <c r="P197" s="279"/>
      <c r="Q197" s="81"/>
      <c r="R197" s="81"/>
      <c r="S197" s="81"/>
    </row>
    <row r="198" spans="1:19" ht="21" x14ac:dyDescent="0.35">
      <c r="A198" s="33" t="s">
        <v>598</v>
      </c>
      <c r="B198" s="19">
        <f>E192/E193</f>
        <v>2.5513828193637194</v>
      </c>
      <c r="C198" t="s">
        <v>895</v>
      </c>
      <c r="D198" s="33" t="s">
        <v>218</v>
      </c>
      <c r="E198" s="147" t="s">
        <v>219</v>
      </c>
      <c r="F198" t="b">
        <f>IF(H192&gt;H193,TRUE(),FALSE())</f>
        <v>0</v>
      </c>
      <c r="G198" t="s">
        <v>220</v>
      </c>
      <c r="I198" s="246" t="s">
        <v>221</v>
      </c>
      <c r="J198" s="241" t="str">
        <f>IF(F198,SQRT(H192-H193),"")</f>
        <v/>
      </c>
      <c r="K198" s="241"/>
    </row>
    <row r="199" spans="1:19" ht="15.75" x14ac:dyDescent="0.3">
      <c r="A199" s="33" t="s">
        <v>355</v>
      </c>
      <c r="B199" s="257">
        <f>B200*J195</f>
        <v>1.7215291124430922E-5</v>
      </c>
      <c r="C199" t="s">
        <v>215</v>
      </c>
      <c r="D199" s="33" t="s">
        <v>222</v>
      </c>
      <c r="E199" s="147" t="s">
        <v>223</v>
      </c>
      <c r="F199" t="b">
        <f>IF(H192=H193,TRUE(),FALSE())</f>
        <v>0</v>
      </c>
      <c r="G199" t="s">
        <v>224</v>
      </c>
      <c r="I199" s="246" t="s">
        <v>221</v>
      </c>
      <c r="J199" s="241" t="str">
        <f>IF(F199,0,"")</f>
        <v/>
      </c>
      <c r="L199" s="30" t="s">
        <v>397</v>
      </c>
      <c r="M199" s="87">
        <f>H87*1000000</f>
        <v>218.97749072585515</v>
      </c>
      <c r="N199" t="s">
        <v>398</v>
      </c>
    </row>
    <row r="200" spans="1:19" ht="15.75" x14ac:dyDescent="0.3">
      <c r="A200" t="s">
        <v>263</v>
      </c>
      <c r="B200" s="338">
        <v>0.03</v>
      </c>
      <c r="D200" s="33" t="s">
        <v>225</v>
      </c>
      <c r="E200" s="147" t="s">
        <v>226</v>
      </c>
      <c r="F200" t="b">
        <f>IF(H192&lt;H193,TRUE(),FALSE())</f>
        <v>1</v>
      </c>
      <c r="G200" t="s">
        <v>227</v>
      </c>
      <c r="I200" s="246" t="s">
        <v>228</v>
      </c>
      <c r="J200" s="241">
        <f>IF(F200,SQRT(H193-H192),"")</f>
        <v>10890.742296769999</v>
      </c>
      <c r="K200" s="247" t="s">
        <v>229</v>
      </c>
      <c r="L200" t="s">
        <v>395</v>
      </c>
      <c r="M200" t="s">
        <v>394</v>
      </c>
      <c r="N200" t="s">
        <v>396</v>
      </c>
      <c r="O200" t="s">
        <v>388</v>
      </c>
    </row>
    <row r="201" spans="1:19" ht="15.75" x14ac:dyDescent="0.3">
      <c r="D201" s="33"/>
      <c r="E201" s="147"/>
      <c r="G201" s="248" t="s">
        <v>230</v>
      </c>
      <c r="H201" s="242">
        <f>J200/(2*PI())</f>
        <v>1733.3154704709266</v>
      </c>
      <c r="I201" s="246"/>
      <c r="J201" s="116"/>
      <c r="L201" s="87">
        <f>M87</f>
        <v>3.3380482795235351</v>
      </c>
      <c r="M201" s="285">
        <v>-50.158052263883903</v>
      </c>
      <c r="N201" s="87">
        <v>51.950774298612821</v>
      </c>
    </row>
    <row r="202" spans="1:19" ht="15.75" x14ac:dyDescent="0.3">
      <c r="I202" s="241"/>
      <c r="J202" s="241" t="s">
        <v>389</v>
      </c>
      <c r="K202" s="241"/>
    </row>
    <row r="203" spans="1:19" ht="14.25" x14ac:dyDescent="0.25">
      <c r="H203" s="249" t="s">
        <v>233</v>
      </c>
      <c r="I203" s="250" t="s">
        <v>878</v>
      </c>
      <c r="J203" s="250" t="s">
        <v>234</v>
      </c>
      <c r="K203" s="250" t="s">
        <v>235</v>
      </c>
      <c r="L203" s="250" t="s">
        <v>386</v>
      </c>
      <c r="M203" s="250" t="s">
        <v>390</v>
      </c>
      <c r="N203" s="250" t="s">
        <v>400</v>
      </c>
      <c r="P203" s="250" t="s">
        <v>402</v>
      </c>
      <c r="R203" s="250" t="s">
        <v>403</v>
      </c>
    </row>
    <row r="204" spans="1:19" x14ac:dyDescent="0.2">
      <c r="H204" s="2" t="s">
        <v>236</v>
      </c>
      <c r="I204" s="242" t="s">
        <v>237</v>
      </c>
      <c r="J204" s="242" t="s">
        <v>238</v>
      </c>
      <c r="K204" s="242" t="s">
        <v>238</v>
      </c>
      <c r="L204" s="242" t="s">
        <v>385</v>
      </c>
      <c r="M204" s="242" t="s">
        <v>238</v>
      </c>
      <c r="N204" s="242" t="s">
        <v>401</v>
      </c>
      <c r="P204" s="242" t="s">
        <v>401</v>
      </c>
    </row>
    <row r="205" spans="1:19" x14ac:dyDescent="0.2">
      <c r="H205" s="2">
        <v>0</v>
      </c>
      <c r="I205" s="114">
        <f>(E$192/(2*J$200*E$194))*EXP(-H$205*J$192)*SIN(J$200*H205)+(E$70/E$194)*I$87*EXP(-H$205*J$192)*COS(J$200*H205)</f>
        <v>21.83073020064878</v>
      </c>
      <c r="J205" s="283">
        <f>(E$192-I205*E$193-K205)</f>
        <v>-45.338584006205082</v>
      </c>
      <c r="K205" s="242">
        <f>E$192*(1-EXP(-J$192*H205)*(COS(J$200*H205)+(J$192/J$200)*SIN(H205*J$200)))+B$198*SQRT(E$194/E$195)*EXP(-H205*J$192)*SIN(J$200*H205)</f>
        <v>0</v>
      </c>
      <c r="L205" s="2">
        <f>-0.001*$B$20*J205</f>
        <v>9.158393969253428</v>
      </c>
      <c r="M205">
        <f>I205*E$193</f>
        <v>51.338584006205082</v>
      </c>
      <c r="N205">
        <f>I205/$B$20</f>
        <v>0.10807292178539001</v>
      </c>
      <c r="P205">
        <f>L205/(B18)</f>
        <v>0.18316787938506857</v>
      </c>
    </row>
    <row r="206" spans="1:19" x14ac:dyDescent="0.2">
      <c r="H206" s="280">
        <f>H205+$B$199</f>
        <v>1.7215291124430922E-5</v>
      </c>
      <c r="I206" s="114">
        <f>(E$192/(2*J$200*E$194))*EXP(-H$205*J$192)*SIN(J$200*H206)+(E$70/E$194)*I$87*EXP(-H$205*J$192)*COS(J$200*H206)</f>
        <v>21.497546910515609</v>
      </c>
      <c r="J206" s="242">
        <f t="shared" ref="J206:J225" si="42">E$192-I206*E$193-K206</f>
        <v>-49.969058081583086</v>
      </c>
      <c r="K206" s="242">
        <f t="shared" ref="K206:K225" si="43">E$192*(1-EXP(-J$192*H206)*(COS(J$200*H206)+(J$192/J$200)*SIN(H206*J$200)))+B$198*SQRT(E$194/E$195)*EXP(-H206*J$192)*SIN(J$200*H206)</f>
        <v>5.4140098606105607</v>
      </c>
      <c r="L206" s="2">
        <f t="shared" ref="L206:L225" si="44">-0.001*$B$20*J206</f>
        <v>10.093749732479784</v>
      </c>
      <c r="M206">
        <f t="shared" ref="M206:M252" si="45">I206*E$193</f>
        <v>50.555048220972523</v>
      </c>
    </row>
    <row r="207" spans="1:19" x14ac:dyDescent="0.2">
      <c r="H207" s="280">
        <f>H206+$B$199</f>
        <v>3.4430582248861844E-5</v>
      </c>
      <c r="I207" s="114">
        <f>(E$192/(2*J$200*E$194))*EXP(-H$205*J$192)*SIN(J$200*H207)+(E$70/E$194)*I$87*EXP(-H$205*J$192)*COS(J$200*H207)</f>
        <v>20.41090385902908</v>
      </c>
      <c r="J207" s="242">
        <f t="shared" si="42"/>
        <v>-52.641234889151377</v>
      </c>
      <c r="K207" s="242">
        <f t="shared" si="43"/>
        <v>10.641608088844038</v>
      </c>
      <c r="L207" s="2">
        <f t="shared" si="44"/>
        <v>10.633529447608579</v>
      </c>
      <c r="M207">
        <f t="shared" si="45"/>
        <v>47.99962680030734</v>
      </c>
    </row>
    <row r="208" spans="1:19" x14ac:dyDescent="0.2">
      <c r="H208" s="280">
        <f t="shared" ref="H208:H252" si="46">H207+$B$199</f>
        <v>5.1645873373292765E-5</v>
      </c>
      <c r="I208" s="114">
        <f>(E$192/(2*J$200*E$194))*EXP(-H$205*J$192)*SIN(J$200*H208)+(E$70/E$194)*I$87*EXP(-H$205*J$192)*COS(J$200*H208)</f>
        <v>18.608886406237811</v>
      </c>
      <c r="J208" s="242">
        <f t="shared" si="42"/>
        <v>-53.27016695059514</v>
      </c>
      <c r="K208" s="242">
        <f t="shared" si="43"/>
        <v>15.508283163484078</v>
      </c>
      <c r="L208" s="2">
        <f t="shared" si="44"/>
        <v>10.760573724020219</v>
      </c>
      <c r="M208">
        <f t="shared" si="45"/>
        <v>43.76188378711106</v>
      </c>
    </row>
    <row r="209" spans="1:13" x14ac:dyDescent="0.2">
      <c r="H209" s="280">
        <f t="shared" si="46"/>
        <v>6.8861164497723687E-5</v>
      </c>
      <c r="I209" s="114">
        <f t="shared" ref="I209:I252" si="47">(E$192/(2*J$200*E$194))*EXP(-H$205*J$192)*SIN(J$200*H209)+(E$70/E$194)*I$87*EXP(-H$205*J$192)*COS(J$200*H209)</f>
        <v>16.154652811341641</v>
      </c>
      <c r="J209" s="242">
        <f t="shared" si="42"/>
        <v>-51.849074946677682</v>
      </c>
      <c r="K209" s="242">
        <f t="shared" si="43"/>
        <v>19.8587286401903</v>
      </c>
      <c r="L209" s="2">
        <f t="shared" si="44"/>
        <v>10.473513139228892</v>
      </c>
      <c r="M209">
        <f t="shared" si="45"/>
        <v>37.990346306487382</v>
      </c>
    </row>
    <row r="210" spans="1:13" ht="15.75" x14ac:dyDescent="0.3">
      <c r="A210" s="33"/>
      <c r="B210" s="18"/>
      <c r="C210" s="18"/>
      <c r="D210" s="116" t="s">
        <v>356</v>
      </c>
      <c r="E210" s="116" t="s">
        <v>357</v>
      </c>
      <c r="H210" s="280">
        <f t="shared" si="46"/>
        <v>8.6076455622154609E-5</v>
      </c>
      <c r="I210" s="114">
        <f t="shared" si="47"/>
        <v>13.134220621664129</v>
      </c>
      <c r="J210" s="242">
        <f t="shared" si="42"/>
        <v>-48.448804628508</v>
      </c>
      <c r="K210" s="242">
        <f t="shared" si="43"/>
        <v>23.561505736357521</v>
      </c>
      <c r="L210" s="2">
        <f t="shared" si="44"/>
        <v>9.786658534958617</v>
      </c>
      <c r="M210">
        <f t="shared" si="45"/>
        <v>30.887298892150479</v>
      </c>
    </row>
    <row r="211" spans="1:13" x14ac:dyDescent="0.2">
      <c r="A211" s="85"/>
      <c r="B211" s="18"/>
      <c r="C211" s="18"/>
      <c r="D211" s="85"/>
      <c r="E211" s="255"/>
      <c r="H211" s="280">
        <f t="shared" si="46"/>
        <v>1.0329174674658553E-4</v>
      </c>
      <c r="I211" s="114">
        <f t="shared" si="47"/>
        <v>9.6534518746875673</v>
      </c>
      <c r="J211" s="242">
        <f t="shared" si="42"/>
        <v>-43.21439225856551</v>
      </c>
      <c r="K211" s="242">
        <f t="shared" si="43"/>
        <v>26.512698569740703</v>
      </c>
      <c r="L211" s="2">
        <f t="shared" si="44"/>
        <v>8.729307236230234</v>
      </c>
      <c r="M211">
        <f t="shared" si="45"/>
        <v>22.701693688824811</v>
      </c>
    </row>
    <row r="212" spans="1:13" x14ac:dyDescent="0.2">
      <c r="A212" s="33"/>
      <c r="B212" s="18"/>
      <c r="C212" s="18"/>
      <c r="D212" s="85"/>
      <c r="E212" s="255"/>
      <c r="H212" s="280">
        <f t="shared" si="46"/>
        <v>1.2050703787101645E-4</v>
      </c>
      <c r="I212" s="114">
        <f t="shared" si="47"/>
        <v>5.834342777715988</v>
      </c>
      <c r="J212" s="242">
        <f t="shared" si="42"/>
        <v>-36.358898541864257</v>
      </c>
      <c r="K212" s="242">
        <f t="shared" si="43"/>
        <v>28.638473523471301</v>
      </c>
      <c r="L212" s="2">
        <f t="shared" si="44"/>
        <v>7.3444975054565802</v>
      </c>
      <c r="M212">
        <f t="shared" si="45"/>
        <v>13.720425018392953</v>
      </c>
    </row>
    <row r="213" spans="1:13" ht="15.75" x14ac:dyDescent="0.3">
      <c r="E213" t="s">
        <v>376</v>
      </c>
      <c r="H213" s="280">
        <f t="shared" si="46"/>
        <v>1.3772232899544737E-4</v>
      </c>
      <c r="I213" s="114">
        <f t="shared" si="47"/>
        <v>1.8107479068442522</v>
      </c>
      <c r="J213" s="242">
        <f t="shared" si="42"/>
        <v>-28.154769791216516</v>
      </c>
      <c r="K213" s="242">
        <f t="shared" si="43"/>
        <v>29.896495666843848</v>
      </c>
      <c r="L213" s="2">
        <f t="shared" si="44"/>
        <v>5.6872634978257368</v>
      </c>
      <c r="M213">
        <f t="shared" si="45"/>
        <v>4.2582741243726687</v>
      </c>
    </row>
    <row r="214" spans="1:13" x14ac:dyDescent="0.2">
      <c r="H214" s="280">
        <f t="shared" si="46"/>
        <v>1.5493762011987831E-4</v>
      </c>
      <c r="I214" s="114">
        <f t="shared" si="47"/>
        <v>-2.2763112137598389</v>
      </c>
      <c r="J214" s="242">
        <f t="shared" si="42"/>
        <v>-18.923073187885148</v>
      </c>
      <c r="K214" s="242">
        <f t="shared" si="43"/>
        <v>30.276196670140596</v>
      </c>
      <c r="L214" s="2">
        <f t="shared" si="44"/>
        <v>3.8224607839528</v>
      </c>
      <c r="M214">
        <f t="shared" si="45"/>
        <v>-5.3531234822554472</v>
      </c>
    </row>
    <row r="215" spans="1:13" x14ac:dyDescent="0.2">
      <c r="A215" s="33"/>
      <c r="B215" s="27"/>
      <c r="H215" s="280">
        <f t="shared" si="46"/>
        <v>1.7215291124430925E-4</v>
      </c>
      <c r="I215" s="114">
        <f t="shared" si="47"/>
        <v>-6.2835887243493227</v>
      </c>
      <c r="J215" s="242">
        <f t="shared" si="42"/>
        <v>-9.0210273722294687</v>
      </c>
      <c r="K215" s="242">
        <f t="shared" si="43"/>
        <v>29.797928768586047</v>
      </c>
      <c r="L215" s="2">
        <f t="shared" si="44"/>
        <v>1.8222475291903528</v>
      </c>
      <c r="M215">
        <f t="shared" si="45"/>
        <v>-14.77690139635658</v>
      </c>
    </row>
    <row r="216" spans="1:13" ht="15.75" x14ac:dyDescent="0.3">
      <c r="A216" s="33"/>
      <c r="B216" s="276"/>
      <c r="D216" s="2" t="s">
        <v>371</v>
      </c>
      <c r="E216" t="s">
        <v>372</v>
      </c>
      <c r="H216" s="280">
        <f t="shared" si="46"/>
        <v>1.8936820236874018E-4</v>
      </c>
      <c r="I216" s="114">
        <f t="shared" si="47"/>
        <v>-10.070635002026593</v>
      </c>
      <c r="J216" s="242">
        <f t="shared" si="42"/>
        <v>1.1716923130681636</v>
      </c>
      <c r="K216" s="242">
        <f t="shared" si="43"/>
        <v>28.511076714603053</v>
      </c>
      <c r="L216" s="2">
        <f t="shared" si="44"/>
        <v>-0.23668184723976907</v>
      </c>
      <c r="M216">
        <f t="shared" si="45"/>
        <v>-23.682769027671217</v>
      </c>
    </row>
    <row r="217" spans="1:13" x14ac:dyDescent="0.2">
      <c r="A217" s="33"/>
      <c r="B217" s="277"/>
      <c r="H217" s="280">
        <f t="shared" si="46"/>
        <v>2.0658349349317112E-4</v>
      </c>
      <c r="I217" s="114">
        <f t="shared" si="47"/>
        <v>-13.504719228876004</v>
      </c>
      <c r="J217" s="242">
        <f t="shared" si="42"/>
        <v>11.26735472213138</v>
      </c>
      <c r="K217" s="242">
        <f t="shared" si="43"/>
        <v>26.491233114351502</v>
      </c>
      <c r="L217" s="2">
        <f t="shared" si="44"/>
        <v>-2.2760056538705387</v>
      </c>
      <c r="M217">
        <f t="shared" si="45"/>
        <v>-31.758587836482882</v>
      </c>
    </row>
    <row r="218" spans="1:13" x14ac:dyDescent="0.2">
      <c r="E218" s="33" t="s">
        <v>259</v>
      </c>
      <c r="H218" s="280">
        <f t="shared" si="46"/>
        <v>2.2379878461760205E-4</v>
      </c>
      <c r="I218" s="114">
        <f t="shared" si="47"/>
        <v>-16.465481426487006</v>
      </c>
      <c r="J218" s="242">
        <f t="shared" si="42"/>
        <v>20.884740303004595</v>
      </c>
      <c r="K218" s="242">
        <f t="shared" si="43"/>
        <v>23.836571061614396</v>
      </c>
      <c r="L218" s="2">
        <f t="shared" si="44"/>
        <v>-4.218717541206928</v>
      </c>
      <c r="M218">
        <f t="shared" si="45"/>
        <v>-38.721311364618991</v>
      </c>
    </row>
    <row r="219" spans="1:13" x14ac:dyDescent="0.2">
      <c r="H219" s="280">
        <f t="shared" si="46"/>
        <v>2.4101407574203299E-4</v>
      </c>
      <c r="I219" s="114">
        <f t="shared" si="47"/>
        <v>-18.849150909389216</v>
      </c>
      <c r="J219" s="242">
        <f t="shared" si="42"/>
        <v>29.663334871289688</v>
      </c>
      <c r="K219" s="242">
        <f t="shared" si="43"/>
        <v>20.663570757297887</v>
      </c>
      <c r="L219" s="2">
        <f t="shared" si="44"/>
        <v>-5.9919936440005177</v>
      </c>
      <c r="M219">
        <f t="shared" si="45"/>
        <v>-44.326905628587575</v>
      </c>
    </row>
    <row r="220" spans="1:13" x14ac:dyDescent="0.2">
      <c r="H220" s="280">
        <f t="shared" si="46"/>
        <v>2.5822936686646392E-4</v>
      </c>
      <c r="I220" s="114">
        <f t="shared" si="47"/>
        <v>-20.572183306347679</v>
      </c>
      <c r="J220" s="242">
        <f t="shared" si="42"/>
        <v>37.276628914463707</v>
      </c>
      <c r="K220" s="242">
        <f t="shared" si="43"/>
        <v>17.102273264108078</v>
      </c>
      <c r="L220" s="2">
        <f t="shared" si="44"/>
        <v>-7.5298790407216689</v>
      </c>
      <c r="M220">
        <f t="shared" si="45"/>
        <v>-48.378902178571785</v>
      </c>
    </row>
    <row r="221" spans="1:13" ht="15.75" x14ac:dyDescent="0.3">
      <c r="D221" s="2" t="s">
        <v>373</v>
      </c>
      <c r="E221" t="s">
        <v>374</v>
      </c>
      <c r="H221" s="280">
        <f t="shared" si="46"/>
        <v>2.7544465799089486E-4</v>
      </c>
      <c r="I221" s="114">
        <f t="shared" si="47"/>
        <v>-21.574188676871959</v>
      </c>
      <c r="J221" s="242">
        <f t="shared" si="42"/>
        <v>43.444039687646949</v>
      </c>
      <c r="K221" s="242">
        <f t="shared" si="43"/>
        <v>13.291244362558277</v>
      </c>
      <c r="L221" s="2">
        <f t="shared" si="44"/>
        <v>-8.7756960169046838</v>
      </c>
      <c r="M221">
        <f t="shared" si="45"/>
        <v>-50.735284050205223</v>
      </c>
    </row>
    <row r="222" spans="1:13" ht="15.75" x14ac:dyDescent="0.3">
      <c r="F222" s="2" t="s">
        <v>375</v>
      </c>
      <c r="H222" s="280">
        <f t="shared" si="46"/>
        <v>2.9265994911532579E-4</v>
      </c>
      <c r="I222" s="114">
        <f t="shared" si="47"/>
        <v>-21.820048096440459</v>
      </c>
      <c r="J222" s="242">
        <f t="shared" si="42"/>
        <v>47.941028706844492</v>
      </c>
      <c r="K222" s="242">
        <f t="shared" si="43"/>
        <v>9.3724345590453808</v>
      </c>
      <c r="L222" s="2">
        <f t="shared" si="44"/>
        <v>-9.6840877987825884</v>
      </c>
      <c r="M222">
        <f t="shared" si="45"/>
        <v>-51.313463265889872</v>
      </c>
    </row>
    <row r="223" spans="1:13" x14ac:dyDescent="0.2">
      <c r="H223" s="280">
        <f t="shared" si="46"/>
        <v>3.0987524023975673E-4</v>
      </c>
      <c r="I223" s="114">
        <f t="shared" si="47"/>
        <v>-21.301144527008525</v>
      </c>
      <c r="J223" s="242">
        <f t="shared" si="42"/>
        <v>50.607057631760249</v>
      </c>
      <c r="K223" s="242">
        <f t="shared" si="43"/>
        <v>5.4861177992495342</v>
      </c>
      <c r="L223" s="2">
        <f t="shared" si="44"/>
        <v>-10.22262564161557</v>
      </c>
      <c r="M223">
        <f t="shared" si="45"/>
        <v>-50.093175431009783</v>
      </c>
    </row>
    <row r="224" spans="1:13" x14ac:dyDescent="0.2">
      <c r="H224" s="280">
        <f t="shared" si="46"/>
        <v>3.2709053136418766E-4</v>
      </c>
      <c r="I224" s="114">
        <f t="shared" si="47"/>
        <v>-20.035664832464256</v>
      </c>
      <c r="J224" s="242">
        <f t="shared" si="42"/>
        <v>51.351108239925033</v>
      </c>
      <c r="K224" s="242">
        <f t="shared" si="43"/>
        <v>1.7660817334578294</v>
      </c>
      <c r="L224" s="2">
        <f t="shared" si="44"/>
        <v>-10.372923864464857</v>
      </c>
      <c r="M224">
        <f t="shared" si="45"/>
        <v>-47.117189973382864</v>
      </c>
    </row>
    <row r="225" spans="8:13" x14ac:dyDescent="0.2">
      <c r="H225" s="280">
        <f t="shared" si="46"/>
        <v>3.443058224886186E-4</v>
      </c>
      <c r="I225" s="114">
        <f t="shared" si="47"/>
        <v>-18.067962353801295</v>
      </c>
      <c r="J225" s="242">
        <f t="shared" si="42"/>
        <v>50.154584094039357</v>
      </c>
      <c r="K225" s="242">
        <f t="shared" si="43"/>
        <v>-1.6647729610149451</v>
      </c>
      <c r="L225" s="2">
        <f t="shared" si="44"/>
        <v>-10.13122598699595</v>
      </c>
      <c r="M225">
        <f t="shared" si="45"/>
        <v>-42.489811133024411</v>
      </c>
    </row>
    <row r="226" spans="8:13" x14ac:dyDescent="0.2">
      <c r="H226" s="280">
        <f t="shared" si="46"/>
        <v>3.6152111361304953E-4</v>
      </c>
      <c r="I226" s="114">
        <f t="shared" si="47"/>
        <v>-15.467002384881267</v>
      </c>
      <c r="J226" s="242">
        <f t="shared" ref="J226:J238" si="48">E$192-I226*E$193-K226</f>
        <v>47.071509163593866</v>
      </c>
      <c r="K226" s="242">
        <f t="shared" ref="K226:K238" si="49">E$192*(1-EXP(-J$192*H226)*(COS(J$200*H226)+(J$192/J$200)*SIN(H226*J$200)))+B$198*SQRT(E$194/E$195)*EXP(-H226*J$192)*SIN(J$200*H226)</f>
        <v>-4.6982869231026552</v>
      </c>
      <c r="L226" s="2">
        <f t="shared" ref="L226:L238" si="50">-0.001*$B$20*J226</f>
        <v>-9.5084448510459616</v>
      </c>
      <c r="M226">
        <f t="shared" si="45"/>
        <v>-36.373222240491209</v>
      </c>
    </row>
    <row r="227" spans="8:13" x14ac:dyDescent="0.2">
      <c r="H227" s="280">
        <f t="shared" si="46"/>
        <v>3.7873640473748047E-4</v>
      </c>
      <c r="I227" s="114">
        <f t="shared" si="47"/>
        <v>-12.323945032744726</v>
      </c>
      <c r="J227" s="242">
        <f t="shared" si="48"/>
        <v>42.226038476696445</v>
      </c>
      <c r="K227" s="242">
        <f t="shared" si="49"/>
        <v>-7.2442370648217178</v>
      </c>
      <c r="L227" s="2">
        <f t="shared" si="50"/>
        <v>-8.5296597722926819</v>
      </c>
      <c r="M227">
        <f t="shared" si="45"/>
        <v>-28.981801411874724</v>
      </c>
    </row>
    <row r="228" spans="8:13" x14ac:dyDescent="0.2">
      <c r="H228" s="280">
        <f t="shared" si="46"/>
        <v>3.959516958619114E-4</v>
      </c>
      <c r="I228" s="114">
        <f t="shared" si="47"/>
        <v>-8.7489501799270535</v>
      </c>
      <c r="J228" s="242">
        <f t="shared" si="48"/>
        <v>35.807394204939115</v>
      </c>
      <c r="K228" s="242">
        <f t="shared" si="49"/>
        <v>-9.2327863173413061</v>
      </c>
      <c r="L228" s="2">
        <f t="shared" si="50"/>
        <v>-7.2330936293977013</v>
      </c>
      <c r="M228">
        <f t="shared" si="45"/>
        <v>-20.574607887597811</v>
      </c>
    </row>
    <row r="229" spans="8:13" x14ac:dyDescent="0.2">
      <c r="H229" s="280">
        <f t="shared" si="46"/>
        <v>4.1316698698634234E-4</v>
      </c>
      <c r="I229" s="114">
        <f t="shared" si="47"/>
        <v>-4.8673165305015589</v>
      </c>
      <c r="J229" s="242">
        <f t="shared" si="48"/>
        <v>28.062433870450711</v>
      </c>
      <c r="K229" s="242">
        <f t="shared" si="49"/>
        <v>-10.616131511837033</v>
      </c>
      <c r="L229" s="2">
        <f t="shared" si="50"/>
        <v>-5.6686116418310437</v>
      </c>
      <c r="M229">
        <f t="shared" si="45"/>
        <v>-11.446302358613677</v>
      </c>
    </row>
    <row r="230" spans="8:13" x14ac:dyDescent="0.2">
      <c r="H230" s="280">
        <f t="shared" si="46"/>
        <v>4.3038227811077328E-4</v>
      </c>
      <c r="I230" s="114">
        <f t="shared" si="47"/>
        <v>-0.81509006103162107</v>
      </c>
      <c r="J230" s="242">
        <f t="shared" si="48"/>
        <v>19.286142275144073</v>
      </c>
      <c r="K230" s="242">
        <f t="shared" si="49"/>
        <v>-11.369322764926723</v>
      </c>
      <c r="L230" s="2">
        <f t="shared" si="50"/>
        <v>-3.8958007395791028</v>
      </c>
      <c r="M230">
        <f t="shared" si="45"/>
        <v>-1.91681951021735</v>
      </c>
    </row>
    <row r="231" spans="8:13" x14ac:dyDescent="0.2">
      <c r="H231" s="280">
        <f t="shared" si="46"/>
        <v>4.4759756923520421E-4</v>
      </c>
      <c r="I231" s="114">
        <f t="shared" si="47"/>
        <v>3.265704205751339</v>
      </c>
      <c r="J231" s="242">
        <f t="shared" si="48"/>
        <v>9.8104122880629561</v>
      </c>
      <c r="K231" s="242">
        <f t="shared" si="49"/>
        <v>-11.490257541310593</v>
      </c>
      <c r="L231" s="2">
        <f t="shared" si="50"/>
        <v>-1.9817032821887173</v>
      </c>
      <c r="M231">
        <f t="shared" si="45"/>
        <v>7.6798452532476373</v>
      </c>
    </row>
    <row r="232" spans="8:13" x14ac:dyDescent="0.2">
      <c r="H232" s="280">
        <f t="shared" si="46"/>
        <v>4.6481286035963515E-4</v>
      </c>
      <c r="I232" s="114">
        <f t="shared" si="47"/>
        <v>7.232039984700374</v>
      </c>
      <c r="J232" s="242">
        <f t="shared" si="48"/>
        <v>-8.460772147032003E-3</v>
      </c>
      <c r="K232" s="242">
        <f t="shared" si="49"/>
        <v>-10.99888112060103</v>
      </c>
      <c r="L232" s="2">
        <f t="shared" si="50"/>
        <v>1.7090759737004647E-3</v>
      </c>
      <c r="M232">
        <f t="shared" si="45"/>
        <v>17.007341892748062</v>
      </c>
    </row>
    <row r="233" spans="8:13" x14ac:dyDescent="0.2">
      <c r="H233" s="280">
        <f t="shared" si="46"/>
        <v>4.8202815148406608E-4</v>
      </c>
      <c r="I233" s="114">
        <f t="shared" si="47"/>
        <v>10.944902604890791</v>
      </c>
      <c r="J233" s="242">
        <f t="shared" si="48"/>
        <v>-9.8031027888600804</v>
      </c>
      <c r="K233" s="242">
        <f t="shared" si="49"/>
        <v>-9.9356515568017016</v>
      </c>
      <c r="L233" s="2">
        <f t="shared" si="50"/>
        <v>1.9802267633497364</v>
      </c>
      <c r="M233">
        <f t="shared" si="45"/>
        <v>25.738754345661782</v>
      </c>
    </row>
    <row r="234" spans="8:13" x14ac:dyDescent="0.2">
      <c r="H234" s="280">
        <f t="shared" si="46"/>
        <v>4.9924344260849696E-4</v>
      </c>
      <c r="I234" s="114">
        <f t="shared" si="47"/>
        <v>14.274161284638884</v>
      </c>
      <c r="J234" s="242">
        <f t="shared" si="48"/>
        <v>-19.208707933532757</v>
      </c>
      <c r="K234" s="242">
        <f t="shared" si="49"/>
        <v>-8.3593505553113445</v>
      </c>
      <c r="L234" s="2">
        <f t="shared" si="50"/>
        <v>3.8801590025736172</v>
      </c>
      <c r="M234">
        <f t="shared" si="45"/>
        <v>33.568058488844102</v>
      </c>
    </row>
    <row r="235" spans="8:13" x14ac:dyDescent="0.2">
      <c r="H235" s="280">
        <f t="shared" si="46"/>
        <v>5.1645873373292784E-4</v>
      </c>
      <c r="I235" s="114">
        <f t="shared" si="47"/>
        <v>17.103130038293962</v>
      </c>
      <c r="J235" s="242">
        <f t="shared" si="48"/>
        <v>-27.876506559246415</v>
      </c>
      <c r="K235" s="242">
        <f t="shared" si="49"/>
        <v>-6.3443413084034557</v>
      </c>
      <c r="L235" s="2">
        <f t="shared" si="50"/>
        <v>5.631054324967776</v>
      </c>
      <c r="M235">
        <f t="shared" si="45"/>
        <v>40.220847867649873</v>
      </c>
    </row>
    <row r="236" spans="8:13" x14ac:dyDescent="0.2">
      <c r="H236" s="280">
        <f t="shared" si="46"/>
        <v>5.3367402485735873E-4</v>
      </c>
      <c r="I236" s="114">
        <f t="shared" si="47"/>
        <v>19.332657361227238</v>
      </c>
      <c r="J236" s="242">
        <f t="shared" si="48"/>
        <v>-35.486561582302791</v>
      </c>
      <c r="K236" s="242">
        <f t="shared" si="49"/>
        <v>-3.9773896864022555</v>
      </c>
      <c r="L236" s="2">
        <f t="shared" si="50"/>
        <v>7.1682854396251638</v>
      </c>
      <c r="M236">
        <f t="shared" si="45"/>
        <v>45.463951268705046</v>
      </c>
    </row>
    <row r="237" spans="8:13" x14ac:dyDescent="0.2">
      <c r="H237" s="280">
        <f t="shared" si="46"/>
        <v>5.5088931598178961E-4</v>
      </c>
      <c r="I237" s="114">
        <f t="shared" si="47"/>
        <v>20.884601355125366</v>
      </c>
      <c r="J237" s="242">
        <f t="shared" si="48"/>
        <v>-41.759429146212383</v>
      </c>
      <c r="K237" s="242">
        <f t="shared" si="49"/>
        <v>-1.3541759073805655</v>
      </c>
      <c r="L237" s="2">
        <f t="shared" si="50"/>
        <v>8.435404687534902</v>
      </c>
      <c r="M237">
        <f t="shared" si="45"/>
        <v>49.113605053592948</v>
      </c>
    </row>
    <row r="238" spans="8:13" x14ac:dyDescent="0.2">
      <c r="H238" s="280">
        <f t="shared" si="46"/>
        <v>5.6810460710622049E-4</v>
      </c>
      <c r="I238" s="114">
        <f t="shared" si="47"/>
        <v>21.704568495176236</v>
      </c>
      <c r="J238" s="242">
        <f t="shared" si="48"/>
        <v>-46.466264116937239</v>
      </c>
      <c r="K238" s="242">
        <f t="shared" si="49"/>
        <v>1.4243702926563382</v>
      </c>
      <c r="L238" s="2">
        <f t="shared" si="50"/>
        <v>9.3861853516213234</v>
      </c>
      <c r="M238">
        <f t="shared" si="45"/>
        <v>51.041893824280898</v>
      </c>
    </row>
    <row r="239" spans="8:13" x14ac:dyDescent="0.2">
      <c r="H239" s="280">
        <f t="shared" si="46"/>
        <v>5.8531989823065137E-4</v>
      </c>
      <c r="I239" s="114">
        <f t="shared" si="47"/>
        <v>21.763820049084874</v>
      </c>
      <c r="J239" s="242">
        <f t="shared" ref="J239:J252" si="51">E$192-I239*E$193-K239</f>
        <v>-49.43701059882688</v>
      </c>
      <c r="K239" s="242">
        <f t="shared" ref="K239:K252" si="52">E$192*(1-EXP(-J$192*H239)*(COS(J$200*H239)+(J$192/J$200)*SIN(H239*J$200)))+B$198*SQRT(E$194/E$195)*EXP(-H239*J$192)*SIN(J$200*H239)</f>
        <v>4.255776915096555</v>
      </c>
      <c r="L239" s="2">
        <f t="shared" ref="L239:L252" si="53">-0.001*$B$20*J239</f>
        <v>9.9862761409630298</v>
      </c>
      <c r="M239">
        <f t="shared" si="45"/>
        <v>51.181233683730326</v>
      </c>
    </row>
    <row r="240" spans="8:13" x14ac:dyDescent="0.2">
      <c r="H240" s="280">
        <f t="shared" si="46"/>
        <v>6.0253518935508225E-4</v>
      </c>
      <c r="I240" s="114">
        <f t="shared" si="47"/>
        <v>21.060279330527315</v>
      </c>
      <c r="J240" s="242">
        <f t="shared" si="51"/>
        <v>-50.566389911550218</v>
      </c>
      <c r="K240" s="242">
        <f t="shared" si="52"/>
        <v>7.0396489520430956</v>
      </c>
      <c r="L240" s="2">
        <f t="shared" si="53"/>
        <v>10.214410762133145</v>
      </c>
      <c r="M240">
        <f t="shared" si="45"/>
        <v>49.526740959507123</v>
      </c>
    </row>
    <row r="241" spans="8:13" x14ac:dyDescent="0.2">
      <c r="H241" s="280">
        <f t="shared" si="46"/>
        <v>6.1975048047951313E-4</v>
      </c>
      <c r="I241" s="114">
        <f t="shared" si="47"/>
        <v>19.618604484179933</v>
      </c>
      <c r="J241" s="242">
        <f t="shared" si="51"/>
        <v>-49.817480618850034</v>
      </c>
      <c r="K241" s="242">
        <f t="shared" si="52"/>
        <v>9.6810772489961536</v>
      </c>
      <c r="L241" s="2">
        <f t="shared" si="53"/>
        <v>10.063131085007708</v>
      </c>
      <c r="M241">
        <f t="shared" si="45"/>
        <v>46.13640336985388</v>
      </c>
    </row>
    <row r="242" spans="8:13" x14ac:dyDescent="0.2">
      <c r="H242" s="280">
        <f t="shared" si="46"/>
        <v>6.3696577160394401E-4</v>
      </c>
      <c r="I242" s="114">
        <f t="shared" si="47"/>
        <v>17.489324251307934</v>
      </c>
      <c r="J242" s="242">
        <f t="shared" si="51"/>
        <v>-47.222774205552739</v>
      </c>
      <c r="K242" s="242">
        <f t="shared" si="52"/>
        <v>12.093726572466768</v>
      </c>
      <c r="L242" s="2">
        <f t="shared" si="53"/>
        <v>9.5390003895216537</v>
      </c>
      <c r="M242">
        <f t="shared" si="45"/>
        <v>41.129047633085975</v>
      </c>
    </row>
    <row r="243" spans="8:13" x14ac:dyDescent="0.2">
      <c r="H243" s="280">
        <f t="shared" si="46"/>
        <v>6.5418106272837489E-4</v>
      </c>
      <c r="I243" s="114">
        <f t="shared" si="47"/>
        <v>14.747067006152905</v>
      </c>
      <c r="J243" s="242">
        <f t="shared" si="51"/>
        <v>-42.88268259339511</v>
      </c>
      <c r="K243" s="242">
        <f t="shared" si="52"/>
        <v>14.202507840559013</v>
      </c>
      <c r="L243" s="2">
        <f t="shared" si="53"/>
        <v>8.6623018838658119</v>
      </c>
      <c r="M243">
        <f t="shared" si="45"/>
        <v>34.680174752836095</v>
      </c>
    </row>
    <row r="244" spans="8:13" x14ac:dyDescent="0.2">
      <c r="H244" s="280">
        <f t="shared" si="46"/>
        <v>6.7139635385280577E-4</v>
      </c>
      <c r="I244" s="114">
        <f t="shared" si="47"/>
        <v>11.487945132983844</v>
      </c>
      <c r="J244" s="242">
        <f t="shared" si="51"/>
        <v>-36.961566499229889</v>
      </c>
      <c r="K244" s="242">
        <f t="shared" si="52"/>
        <v>15.945757552498524</v>
      </c>
      <c r="L244" s="2">
        <f t="shared" si="53"/>
        <v>7.4662364328444379</v>
      </c>
      <c r="M244">
        <f t="shared" si="45"/>
        <v>27.015808946731365</v>
      </c>
    </row>
    <row r="245" spans="8:13" x14ac:dyDescent="0.2">
      <c r="H245" s="280">
        <f t="shared" si="46"/>
        <v>6.8861164497723666E-4</v>
      </c>
      <c r="I245" s="114">
        <f t="shared" si="47"/>
        <v>7.8261864178361034</v>
      </c>
      <c r="J245" s="242">
        <f t="shared" si="51"/>
        <v>-29.681443319861678</v>
      </c>
      <c r="K245" s="242">
        <f t="shared" si="52"/>
        <v>17.276867514680433</v>
      </c>
      <c r="L245" s="2">
        <f t="shared" si="53"/>
        <v>5.9956515506120596</v>
      </c>
      <c r="M245">
        <f t="shared" si="45"/>
        <v>18.404575805181246</v>
      </c>
    </row>
    <row r="246" spans="8:13" x14ac:dyDescent="0.2">
      <c r="H246" s="280">
        <f t="shared" si="46"/>
        <v>7.0582693610166754E-4</v>
      </c>
      <c r="I246" s="114">
        <f t="shared" si="47"/>
        <v>3.8901305200733125</v>
      </c>
      <c r="J246" s="242">
        <f t="shared" si="51"/>
        <v>-21.313616563296378</v>
      </c>
      <c r="K246" s="242">
        <f t="shared" si="52"/>
        <v>18.165329233266949</v>
      </c>
      <c r="L246" s="2">
        <f t="shared" si="53"/>
        <v>4.3053505457858687</v>
      </c>
      <c r="M246">
        <f t="shared" si="45"/>
        <v>9.1482873300294276</v>
      </c>
    </row>
    <row r="247" spans="8:13" x14ac:dyDescent="0.2">
      <c r="H247" s="280">
        <f t="shared" si="46"/>
        <v>7.2304222722609842E-4</v>
      </c>
      <c r="I247" s="114">
        <f t="shared" si="47"/>
        <v>-0.18226915800492111</v>
      </c>
      <c r="J247" s="242">
        <f t="shared" si="51"/>
        <v>-12.168542875985999</v>
      </c>
      <c r="K247" s="242">
        <f t="shared" si="52"/>
        <v>18.597179041335053</v>
      </c>
      <c r="L247" s="2">
        <f t="shared" si="53"/>
        <v>2.4580456609491721</v>
      </c>
      <c r="M247">
        <f t="shared" si="45"/>
        <v>-0.42863616534905552</v>
      </c>
    </row>
    <row r="248" spans="8:13" x14ac:dyDescent="0.2">
      <c r="H248" s="280">
        <f t="shared" si="46"/>
        <v>7.402575183505293E-4</v>
      </c>
      <c r="I248" s="114">
        <f t="shared" si="47"/>
        <v>-4.2482805501608532</v>
      </c>
      <c r="J248" s="242">
        <f t="shared" si="51"/>
        <v>-2.584314835419331</v>
      </c>
      <c r="K248" s="242">
        <f t="shared" si="52"/>
        <v>18.574851381919203</v>
      </c>
      <c r="L248" s="2">
        <f t="shared" si="53"/>
        <v>0.5220315967547049</v>
      </c>
      <c r="M248">
        <f t="shared" si="45"/>
        <v>-9.9905365464998717</v>
      </c>
    </row>
    <row r="249" spans="8:13" x14ac:dyDescent="0.2">
      <c r="H249" s="280">
        <f t="shared" si="46"/>
        <v>7.5747280947496018E-4</v>
      </c>
      <c r="I249" s="114">
        <f t="shared" si="47"/>
        <v>-8.1653954908839665</v>
      </c>
      <c r="J249" s="242">
        <f t="shared" si="51"/>
        <v>7.085814270415689</v>
      </c>
      <c r="K249" s="242">
        <f t="shared" si="52"/>
        <v>18.116467948260471</v>
      </c>
      <c r="L249" s="2">
        <f t="shared" si="53"/>
        <v>-1.4313344826239693</v>
      </c>
      <c r="M249">
        <f t="shared" si="45"/>
        <v>-19.20228221867616</v>
      </c>
    </row>
    <row r="250" spans="8:13" x14ac:dyDescent="0.2">
      <c r="H250" s="280">
        <f t="shared" si="46"/>
        <v>7.7468810059939106E-4</v>
      </c>
      <c r="I250" s="114">
        <f t="shared" si="47"/>
        <v>-11.796324432640478</v>
      </c>
      <c r="J250" s="242">
        <f t="shared" si="51"/>
        <v>16.486405107588165</v>
      </c>
      <c r="K250" s="242">
        <f t="shared" si="52"/>
        <v>17.254608925536797</v>
      </c>
      <c r="L250" s="2">
        <f t="shared" si="53"/>
        <v>-3.3302538317328096</v>
      </c>
      <c r="M250">
        <f t="shared" si="45"/>
        <v>-27.741014033124962</v>
      </c>
    </row>
    <row r="251" spans="8:13" x14ac:dyDescent="0.2">
      <c r="H251" s="280">
        <f t="shared" si="46"/>
        <v>7.9190339172382194E-4</v>
      </c>
      <c r="I251" s="114">
        <f t="shared" si="47"/>
        <v>-15.013808257665259</v>
      </c>
      <c r="J251" s="242">
        <f t="shared" si="51"/>
        <v>25.272832254464387</v>
      </c>
      <c r="K251" s="242">
        <f t="shared" si="52"/>
        <v>16.034628806379867</v>
      </c>
      <c r="L251" s="2">
        <f t="shared" si="53"/>
        <v>-5.1051121154018064</v>
      </c>
      <c r="M251">
        <f t="shared" si="45"/>
        <v>-35.307461060844254</v>
      </c>
    </row>
    <row r="252" spans="8:13" x14ac:dyDescent="0.2">
      <c r="H252" s="280">
        <f t="shared" si="46"/>
        <v>8.0911868284825282E-4</v>
      </c>
      <c r="I252" s="114">
        <f t="shared" si="47"/>
        <v>-17.705078536841597</v>
      </c>
      <c r="J252" s="242">
        <f t="shared" si="51"/>
        <v>33.12383694118266</v>
      </c>
      <c r="K252" s="242">
        <f t="shared" si="52"/>
        <v>14.512592690158215</v>
      </c>
      <c r="L252" s="2">
        <f t="shared" si="53"/>
        <v>-6.6910150621188977</v>
      </c>
      <c r="M252">
        <f t="shared" si="45"/>
        <v>-41.636429631340874</v>
      </c>
    </row>
    <row r="253" spans="8:13" x14ac:dyDescent="0.2">
      <c r="H253" s="280">
        <f>H252+$B$199</f>
        <v>8.263339739726837E-4</v>
      </c>
      <c r="I253" s="114">
        <f>(E$192/(2*J$200*E$194))*EXP(-H$205*J$192)*SIN(J$200*H253)+(E$70/E$194)*I$87*EXP(-H$205*J$192)*COS(J$200*H253)</f>
        <v>-19.775809909665512</v>
      </c>
      <c r="J253" s="242">
        <f>E$192-I253*E$193-K253</f>
        <v>39.753178746851574</v>
      </c>
      <c r="K253" s="242">
        <f>E$192*(1-EXP(-J$192*H253)*(COS(J$200*H253)+(J$192/J$200)*SIN(H253*J$200)))+B$198*SQRT(E$194/E$195)*EXP(-H253*J$192)*SIN(J$200*H253)</f>
        <v>12.752919263004898</v>
      </c>
      <c r="L253" s="2">
        <f>-0.001*$B$20*J253</f>
        <v>-8.0301421068640177</v>
      </c>
      <c r="M253">
        <f>I253*E$193</f>
        <v>-46.506098009856473</v>
      </c>
    </row>
    <row r="254" spans="8:13" x14ac:dyDescent="0.2">
      <c r="H254" s="280">
        <f>H253+$B$199</f>
        <v>8.4354926509711459E-4</v>
      </c>
      <c r="I254" s="114">
        <f>(E$192/(2*J$200*E$194))*EXP(-H$205*J$192)*SIN(J$200*H254)+(E$70/E$194)*I$87*EXP(-H$205*J$192)*COS(J$200*H254)</f>
        <v>-21.15342605975593</v>
      </c>
      <c r="J254" s="242">
        <f>E$192-I254*E$193-K254</f>
        <v>44.919967392469943</v>
      </c>
      <c r="K254" s="242">
        <f>E$192*(1-EXP(-J$192*H254)*(COS(J$200*H254)+(J$192/J$200)*SIN(H254*J$200)))+B$198*SQRT(E$194/E$195)*EXP(-H254*J$192)*SIN(J$200*H254)</f>
        <v>10.825823554804622</v>
      </c>
      <c r="L254" s="2">
        <f>-0.001*$B$20*J254</f>
        <v>-9.0738334132789298</v>
      </c>
      <c r="M254">
        <f>I254*E$193</f>
        <v>-49.745790947274564</v>
      </c>
    </row>
  </sheetData>
  <phoneticPr fontId="0" type="noConversion"/>
  <pageMargins left="0.78740157499999996" right="0.78740157499999996" top="0.984251969" bottom="0.984251969" header="0.5" footer="0.5"/>
  <pageSetup paperSize="9" scale="77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C2:N51"/>
  <sheetViews>
    <sheetView workbookViewId="0">
      <selection activeCell="H27" sqref="H27"/>
    </sheetView>
  </sheetViews>
  <sheetFormatPr baseColWidth="10" defaultColWidth="9.140625" defaultRowHeight="12.75" x14ac:dyDescent="0.2"/>
  <sheetData>
    <row r="2" spans="4:12" ht="23.25" x14ac:dyDescent="0.35">
      <c r="D2" s="1" t="s">
        <v>291</v>
      </c>
    </row>
    <row r="5" spans="4:12" x14ac:dyDescent="0.2">
      <c r="D5" t="s">
        <v>292</v>
      </c>
      <c r="I5" t="s">
        <v>293</v>
      </c>
    </row>
    <row r="6" spans="4:12" ht="14.25" x14ac:dyDescent="0.2">
      <c r="D6" t="s">
        <v>294</v>
      </c>
      <c r="E6" s="264">
        <v>201.99756986634264</v>
      </c>
      <c r="F6" s="33" t="s">
        <v>295</v>
      </c>
      <c r="G6" s="10">
        <f>E6*E6</f>
        <v>40803.018231907976</v>
      </c>
      <c r="I6" t="s">
        <v>296</v>
      </c>
      <c r="K6" s="30" t="s">
        <v>297</v>
      </c>
      <c r="L6" t="s">
        <v>298</v>
      </c>
    </row>
    <row r="7" spans="4:12" ht="14.25" x14ac:dyDescent="0.2">
      <c r="D7" t="s">
        <v>299</v>
      </c>
      <c r="E7" s="45">
        <v>0.94269369968186179</v>
      </c>
      <c r="F7" s="33" t="s">
        <v>300</v>
      </c>
      <c r="G7" s="10">
        <f>E7*E7</f>
        <v>0.88867141141987627</v>
      </c>
      <c r="I7" t="s">
        <v>301</v>
      </c>
      <c r="K7" s="30" t="s">
        <v>297</v>
      </c>
      <c r="L7" t="s">
        <v>302</v>
      </c>
    </row>
    <row r="8" spans="4:12" x14ac:dyDescent="0.2">
      <c r="L8" t="s">
        <v>303</v>
      </c>
    </row>
    <row r="9" spans="4:12" x14ac:dyDescent="0.2">
      <c r="D9" t="s">
        <v>304</v>
      </c>
      <c r="E9" s="45">
        <v>9.5001128647632469E-3</v>
      </c>
      <c r="F9" t="s">
        <v>898</v>
      </c>
      <c r="L9" t="s">
        <v>719</v>
      </c>
    </row>
    <row r="10" spans="4:12" x14ac:dyDescent="0.2">
      <c r="D10" t="s">
        <v>305</v>
      </c>
      <c r="E10" s="45">
        <v>417.97351573893047</v>
      </c>
      <c r="F10" t="s">
        <v>898</v>
      </c>
      <c r="L10" t="s">
        <v>720</v>
      </c>
    </row>
    <row r="11" spans="4:12" x14ac:dyDescent="0.2">
      <c r="D11" t="s">
        <v>306</v>
      </c>
      <c r="E11" s="10">
        <f>E7*SQRT(E10*E9)</f>
        <v>1.8784920833498131</v>
      </c>
      <c r="F11" t="s">
        <v>898</v>
      </c>
    </row>
    <row r="12" spans="4:12" x14ac:dyDescent="0.2">
      <c r="I12" t="s">
        <v>307</v>
      </c>
    </row>
    <row r="13" spans="4:12" x14ac:dyDescent="0.2">
      <c r="D13" s="113" t="s">
        <v>308</v>
      </c>
      <c r="E13" s="45">
        <v>0.1556681807076368</v>
      </c>
      <c r="I13" t="s">
        <v>309</v>
      </c>
    </row>
    <row r="14" spans="4:12" x14ac:dyDescent="0.2">
      <c r="D14" t="s">
        <v>310</v>
      </c>
      <c r="E14" s="45">
        <v>5421.5121447025858</v>
      </c>
      <c r="I14" t="s">
        <v>311</v>
      </c>
    </row>
    <row r="16" spans="4:12" x14ac:dyDescent="0.2">
      <c r="I16" t="s">
        <v>312</v>
      </c>
      <c r="J16" s="10">
        <f>1000*E11/E6</f>
        <v>9.2995776364674594</v>
      </c>
      <c r="K16" t="s">
        <v>995</v>
      </c>
    </row>
    <row r="17" spans="3:14" x14ac:dyDescent="0.2">
      <c r="D17" t="s">
        <v>313</v>
      </c>
      <c r="E17" s="10">
        <f>E9-E11</f>
        <v>-1.8689919704850499</v>
      </c>
      <c r="I17" t="s">
        <v>314</v>
      </c>
      <c r="J17" s="10">
        <f>1000*E9-J16</f>
        <v>0.20053522829578796</v>
      </c>
      <c r="K17" t="s">
        <v>995</v>
      </c>
    </row>
    <row r="18" spans="3:14" x14ac:dyDescent="0.2">
      <c r="D18" t="s">
        <v>315</v>
      </c>
      <c r="E18" s="10">
        <f>E10-E11</f>
        <v>416.09502365558063</v>
      </c>
      <c r="I18" t="s">
        <v>316</v>
      </c>
      <c r="J18" s="10">
        <f>1000*E10/(G6)-J16</f>
        <v>0.94411348861884647</v>
      </c>
      <c r="K18" t="s">
        <v>995</v>
      </c>
      <c r="L18" t="s">
        <v>317</v>
      </c>
      <c r="M18">
        <v>1.1446487169146344</v>
      </c>
      <c r="N18" t="s">
        <v>995</v>
      </c>
    </row>
    <row r="20" spans="3:14" x14ac:dyDescent="0.2">
      <c r="C20" t="s">
        <v>318</v>
      </c>
      <c r="J20" t="s">
        <v>319</v>
      </c>
    </row>
    <row r="22" spans="3:14" ht="13.5" thickBot="1" x14ac:dyDescent="0.25">
      <c r="D22" s="2" t="s">
        <v>320</v>
      </c>
      <c r="F22" s="2" t="s">
        <v>321</v>
      </c>
      <c r="K22" s="2" t="s">
        <v>322</v>
      </c>
      <c r="M22" s="2" t="s">
        <v>323</v>
      </c>
    </row>
    <row r="23" spans="3:14" ht="13.5" thickBot="1" x14ac:dyDescent="0.25">
      <c r="C23" s="165" t="s">
        <v>324</v>
      </c>
      <c r="D23" s="265">
        <f>E17</f>
        <v>-1.8689919704850499</v>
      </c>
      <c r="E23" s="165" t="s">
        <v>898</v>
      </c>
      <c r="F23" s="265">
        <f>E18</f>
        <v>416.09502365558063</v>
      </c>
      <c r="G23" s="165" t="s">
        <v>325</v>
      </c>
      <c r="J23" s="165"/>
      <c r="K23" s="265">
        <f>J17</f>
        <v>0.20053522829578796</v>
      </c>
      <c r="L23" s="165" t="s">
        <v>995</v>
      </c>
      <c r="M23" s="265">
        <f>J18</f>
        <v>0.94411348861884647</v>
      </c>
      <c r="N23" s="165" t="s">
        <v>995</v>
      </c>
    </row>
    <row r="24" spans="3:14" ht="13.5" thickBot="1" x14ac:dyDescent="0.25">
      <c r="E24" s="2" t="s">
        <v>326</v>
      </c>
      <c r="L24" s="2" t="s">
        <v>326</v>
      </c>
    </row>
    <row r="25" spans="3:14" ht="13.5" thickBot="1" x14ac:dyDescent="0.25">
      <c r="D25" s="2" t="s">
        <v>327</v>
      </c>
      <c r="E25" s="265">
        <f>E11</f>
        <v>1.8784920833498131</v>
      </c>
      <c r="F25" t="s">
        <v>898</v>
      </c>
      <c r="K25" s="2" t="s">
        <v>328</v>
      </c>
      <c r="L25" s="265">
        <f>J16</f>
        <v>9.2995776364674594</v>
      </c>
      <c r="M25" t="s">
        <v>995</v>
      </c>
    </row>
    <row r="26" spans="3:14" ht="13.5" thickBot="1" x14ac:dyDescent="0.25">
      <c r="C26" s="165"/>
      <c r="D26" s="165"/>
      <c r="E26" s="266" t="s">
        <v>326</v>
      </c>
      <c r="F26" s="165"/>
      <c r="G26" s="165"/>
      <c r="J26" s="165"/>
      <c r="K26" s="165"/>
      <c r="L26" s="266" t="s">
        <v>326</v>
      </c>
      <c r="M26" s="165"/>
      <c r="N26" s="165"/>
    </row>
    <row r="27" spans="3:14" x14ac:dyDescent="0.2">
      <c r="C27" t="s">
        <v>329</v>
      </c>
    </row>
    <row r="30" spans="3:14" x14ac:dyDescent="0.2">
      <c r="D30" t="s">
        <v>330</v>
      </c>
      <c r="K30" t="s">
        <v>330</v>
      </c>
    </row>
    <row r="32" spans="3:14" ht="13.5" thickBot="1" x14ac:dyDescent="0.25">
      <c r="K32" s="33" t="s">
        <v>350</v>
      </c>
      <c r="M32" s="33" t="s">
        <v>351</v>
      </c>
    </row>
    <row r="33" spans="3:14" ht="13.5" thickBot="1" x14ac:dyDescent="0.25">
      <c r="C33" s="165"/>
      <c r="D33" s="265">
        <v>0</v>
      </c>
      <c r="E33" s="165" t="s">
        <v>898</v>
      </c>
      <c r="F33" s="265">
        <v>0</v>
      </c>
      <c r="G33" s="165" t="s">
        <v>898</v>
      </c>
      <c r="J33" s="165"/>
      <c r="K33" s="267">
        <v>0.20053522829578813</v>
      </c>
      <c r="L33" s="165" t="s">
        <v>995</v>
      </c>
      <c r="M33" s="267">
        <v>0.94411348861884681</v>
      </c>
      <c r="N33" s="165" t="s">
        <v>995</v>
      </c>
    </row>
    <row r="34" spans="3:14" ht="13.5" thickBot="1" x14ac:dyDescent="0.25">
      <c r="E34" s="2" t="s">
        <v>326</v>
      </c>
      <c r="L34" s="2" t="s">
        <v>326</v>
      </c>
    </row>
    <row r="35" spans="3:14" ht="13.5" thickBot="1" x14ac:dyDescent="0.25">
      <c r="D35" s="2" t="s">
        <v>327</v>
      </c>
      <c r="E35" s="265">
        <v>1.8784920833498131</v>
      </c>
      <c r="F35" t="s">
        <v>898</v>
      </c>
      <c r="L35" s="267">
        <v>9.2995776364674576</v>
      </c>
      <c r="M35" t="s">
        <v>995</v>
      </c>
    </row>
    <row r="36" spans="3:14" ht="13.5" thickBot="1" x14ac:dyDescent="0.25">
      <c r="C36" s="165"/>
      <c r="D36" s="165"/>
      <c r="E36" s="266" t="s">
        <v>326</v>
      </c>
      <c r="F36" s="165"/>
      <c r="G36" s="165"/>
      <c r="J36" s="165"/>
      <c r="K36" s="165"/>
      <c r="L36" s="266" t="s">
        <v>326</v>
      </c>
      <c r="M36" s="165"/>
      <c r="N36" s="165"/>
    </row>
    <row r="40" spans="3:14" x14ac:dyDescent="0.2">
      <c r="D40" t="s">
        <v>334</v>
      </c>
    </row>
    <row r="41" spans="3:14" x14ac:dyDescent="0.2">
      <c r="D41" t="s">
        <v>335</v>
      </c>
      <c r="K41" t="s">
        <v>336</v>
      </c>
    </row>
    <row r="43" spans="3:14" ht="15" thickBot="1" x14ac:dyDescent="0.25">
      <c r="D43" s="33" t="s">
        <v>337</v>
      </c>
      <c r="F43" s="33" t="s">
        <v>338</v>
      </c>
      <c r="K43" s="33" t="s">
        <v>339</v>
      </c>
      <c r="M43" s="33" t="s">
        <v>340</v>
      </c>
    </row>
    <row r="44" spans="3:14" ht="13.5" thickBot="1" x14ac:dyDescent="0.25">
      <c r="C44" s="165"/>
      <c r="D44" s="265">
        <f>E50</f>
        <v>1.0576341565859682</v>
      </c>
      <c r="E44" s="165" t="s">
        <v>995</v>
      </c>
      <c r="F44" s="265">
        <f>E49</f>
        <v>0.1180780995729187</v>
      </c>
      <c r="G44" s="165" t="s">
        <v>341</v>
      </c>
      <c r="J44" s="165"/>
      <c r="K44" s="265">
        <f>L49</f>
        <v>5644.6022997436485</v>
      </c>
      <c r="L44" s="165" t="s">
        <v>341</v>
      </c>
      <c r="M44" s="265">
        <f>L50</f>
        <v>46.532401571087263</v>
      </c>
      <c r="N44" s="165" t="s">
        <v>898</v>
      </c>
    </row>
    <row r="45" spans="3:14" ht="13.5" thickBot="1" x14ac:dyDescent="0.25">
      <c r="E45" s="2" t="s">
        <v>326</v>
      </c>
      <c r="G45" s="161"/>
      <c r="L45" s="2" t="s">
        <v>326</v>
      </c>
    </row>
    <row r="46" spans="3:14" ht="15" thickBot="1" x14ac:dyDescent="0.25">
      <c r="D46" s="33" t="s">
        <v>342</v>
      </c>
      <c r="E46" s="267">
        <f>E51</f>
        <v>8.4424787081772799</v>
      </c>
      <c r="F46" t="s">
        <v>995</v>
      </c>
      <c r="G46" s="25"/>
      <c r="K46" s="33" t="s">
        <v>343</v>
      </c>
      <c r="L46" s="265">
        <f>L51</f>
        <v>371.44111416784324</v>
      </c>
      <c r="M46" t="s">
        <v>898</v>
      </c>
    </row>
    <row r="47" spans="3:14" ht="13.5" thickBot="1" x14ac:dyDescent="0.25">
      <c r="C47" s="165"/>
      <c r="D47" s="165"/>
      <c r="E47" s="266" t="s">
        <v>326</v>
      </c>
      <c r="F47" s="165"/>
      <c r="G47" s="165"/>
      <c r="J47" s="165"/>
      <c r="K47" s="165"/>
      <c r="L47" s="266" t="s">
        <v>326</v>
      </c>
      <c r="M47" s="165"/>
      <c r="N47" s="165"/>
    </row>
    <row r="49" spans="4:13" ht="14.25" x14ac:dyDescent="0.2">
      <c r="D49" s="33" t="s">
        <v>344</v>
      </c>
      <c r="E49" s="10">
        <f>G7*E14/G6</f>
        <v>0.1180780995729187</v>
      </c>
      <c r="K49" s="33" t="s">
        <v>345</v>
      </c>
      <c r="L49" s="10">
        <f>G7*G6*E13</f>
        <v>5644.6022997436485</v>
      </c>
    </row>
    <row r="50" spans="4:13" ht="14.25" x14ac:dyDescent="0.2">
      <c r="D50" s="33" t="s">
        <v>346</v>
      </c>
      <c r="E50" s="10">
        <f>1000*E9*(1-E7*E7)</f>
        <v>1.0576341565859682</v>
      </c>
      <c r="F50" t="s">
        <v>995</v>
      </c>
      <c r="K50" s="33" t="s">
        <v>347</v>
      </c>
      <c r="L50" s="10">
        <f>E10*(1-G7)</f>
        <v>46.532401571087263</v>
      </c>
      <c r="M50" t="s">
        <v>898</v>
      </c>
    </row>
    <row r="51" spans="4:13" ht="14.25" x14ac:dyDescent="0.2">
      <c r="D51" s="33" t="s">
        <v>348</v>
      </c>
      <c r="E51" s="10">
        <f>1000*E9*E7*E7</f>
        <v>8.4424787081772799</v>
      </c>
      <c r="F51" t="s">
        <v>995</v>
      </c>
      <c r="K51" s="33" t="s">
        <v>349</v>
      </c>
      <c r="L51" s="10">
        <f>E10*G7</f>
        <v>371.44111416784324</v>
      </c>
      <c r="M51" t="s">
        <v>898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</sheetPr>
  <dimension ref="A1:AB319"/>
  <sheetViews>
    <sheetView workbookViewId="0">
      <selection activeCell="R21" sqref="R21"/>
    </sheetView>
  </sheetViews>
  <sheetFormatPr baseColWidth="10" defaultColWidth="9.140625" defaultRowHeight="12.75" x14ac:dyDescent="0.2"/>
  <cols>
    <col min="1" max="11" width="9.140625" customWidth="1"/>
    <col min="12" max="12" width="10.140625" bestFit="1" customWidth="1"/>
  </cols>
  <sheetData>
    <row r="1" spans="1:26" ht="23.25" x14ac:dyDescent="0.35">
      <c r="A1" s="1" t="s">
        <v>678</v>
      </c>
    </row>
    <row r="3" spans="1:26" x14ac:dyDescent="0.2">
      <c r="D3" t="s">
        <v>1021</v>
      </c>
      <c r="E3" s="286" t="s">
        <v>764</v>
      </c>
    </row>
    <row r="5" spans="1:26" ht="20.25" x14ac:dyDescent="0.3">
      <c r="E5" s="210" t="s">
        <v>680</v>
      </c>
    </row>
    <row r="6" spans="1:26" x14ac:dyDescent="0.2">
      <c r="K6" s="3" t="s">
        <v>699</v>
      </c>
    </row>
    <row r="7" spans="1:26" x14ac:dyDescent="0.2">
      <c r="A7" s="130"/>
      <c r="B7" s="148"/>
      <c r="C7" s="148"/>
      <c r="D7" s="148"/>
      <c r="E7" s="148"/>
      <c r="F7" s="148"/>
      <c r="G7" s="148"/>
      <c r="H7" s="148"/>
      <c r="I7" s="131"/>
      <c r="K7" s="3" t="s">
        <v>698</v>
      </c>
    </row>
    <row r="8" spans="1:26" ht="12.75" customHeight="1" x14ac:dyDescent="0.2">
      <c r="A8" s="144"/>
      <c r="B8" s="25"/>
      <c r="C8" s="25"/>
      <c r="D8" s="25"/>
      <c r="E8" s="212" t="s">
        <v>614</v>
      </c>
      <c r="F8" s="25"/>
      <c r="G8" s="25"/>
      <c r="H8" s="25"/>
      <c r="I8" s="133"/>
      <c r="K8" s="376" t="s">
        <v>700</v>
      </c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</row>
    <row r="9" spans="1:26" x14ac:dyDescent="0.2">
      <c r="A9" s="144"/>
      <c r="B9" s="25"/>
      <c r="C9" s="25"/>
      <c r="D9" s="25"/>
      <c r="E9" s="25"/>
      <c r="F9" s="25"/>
      <c r="G9" s="25"/>
      <c r="H9" s="25"/>
      <c r="I9" s="133"/>
      <c r="K9" t="s">
        <v>697</v>
      </c>
    </row>
    <row r="10" spans="1:26" x14ac:dyDescent="0.2">
      <c r="A10" s="211" t="s">
        <v>604</v>
      </c>
      <c r="B10" s="25"/>
      <c r="C10" s="25"/>
      <c r="D10" s="25"/>
      <c r="E10" s="25"/>
      <c r="F10" s="25"/>
      <c r="G10" s="25"/>
      <c r="H10" s="25"/>
      <c r="I10" s="133"/>
      <c r="K10" t="s">
        <v>693</v>
      </c>
    </row>
    <row r="11" spans="1:26" x14ac:dyDescent="0.2">
      <c r="A11" s="144" t="s">
        <v>605</v>
      </c>
      <c r="B11" s="25"/>
      <c r="C11" s="25"/>
      <c r="D11" s="213">
        <f>E140</f>
        <v>1.6066770064423874</v>
      </c>
      <c r="E11" s="25" t="s">
        <v>874</v>
      </c>
      <c r="F11" s="25"/>
      <c r="G11" s="25"/>
      <c r="H11" s="25"/>
      <c r="I11" s="133"/>
    </row>
    <row r="12" spans="1:26" x14ac:dyDescent="0.2">
      <c r="A12" s="144" t="s">
        <v>606</v>
      </c>
      <c r="B12" s="25"/>
      <c r="C12" s="25"/>
      <c r="D12" s="214">
        <f>10*E146</f>
        <v>30.235466614679748</v>
      </c>
      <c r="E12" s="25" t="s">
        <v>904</v>
      </c>
      <c r="F12" s="212" t="s">
        <v>611</v>
      </c>
      <c r="G12" s="25"/>
      <c r="H12" s="25"/>
      <c r="I12" s="133"/>
    </row>
    <row r="13" spans="1:26" x14ac:dyDescent="0.2">
      <c r="A13" s="144" t="s">
        <v>607</v>
      </c>
      <c r="B13" s="25"/>
      <c r="C13" s="25"/>
      <c r="D13" s="214">
        <f>10*E147</f>
        <v>302.35466614679746</v>
      </c>
      <c r="E13" s="25" t="s">
        <v>904</v>
      </c>
      <c r="F13" s="25" t="s">
        <v>627</v>
      </c>
      <c r="G13" s="25"/>
      <c r="H13" s="215">
        <f>10*E151</f>
        <v>31.200000000000003</v>
      </c>
      <c r="I13" s="133" t="s">
        <v>904</v>
      </c>
      <c r="K13" t="s">
        <v>681</v>
      </c>
    </row>
    <row r="14" spans="1:26" x14ac:dyDescent="0.2">
      <c r="A14" s="144" t="s">
        <v>608</v>
      </c>
      <c r="B14" s="25"/>
      <c r="C14" s="25"/>
      <c r="D14" s="214">
        <f>10*E157</f>
        <v>272.1191995321177</v>
      </c>
      <c r="E14" s="25" t="s">
        <v>904</v>
      </c>
      <c r="F14" s="25" t="s">
        <v>626</v>
      </c>
      <c r="G14" s="25"/>
      <c r="H14" s="215">
        <f>10*E152</f>
        <v>34.900000000000006</v>
      </c>
      <c r="I14" s="133" t="s">
        <v>904</v>
      </c>
      <c r="K14" t="s">
        <v>682</v>
      </c>
    </row>
    <row r="15" spans="1:26" ht="14.25" x14ac:dyDescent="0.2">
      <c r="A15" s="144" t="s">
        <v>609</v>
      </c>
      <c r="B15" s="25"/>
      <c r="C15" s="25"/>
      <c r="D15" s="216">
        <f>E148</f>
        <v>7.1799799588974142</v>
      </c>
      <c r="E15" s="25" t="s">
        <v>1103</v>
      </c>
      <c r="F15" s="25" t="s">
        <v>612</v>
      </c>
      <c r="G15" s="25"/>
      <c r="H15" s="215">
        <f>10*E153</f>
        <v>310</v>
      </c>
      <c r="I15" s="133" t="s">
        <v>904</v>
      </c>
    </row>
    <row r="16" spans="1:26" ht="14.25" x14ac:dyDescent="0.2">
      <c r="A16" s="144" t="s">
        <v>610</v>
      </c>
      <c r="B16" s="25"/>
      <c r="C16" s="25"/>
      <c r="D16" s="216">
        <f>E149</f>
        <v>6.4619819630076734</v>
      </c>
      <c r="E16" s="25" t="s">
        <v>1103</v>
      </c>
      <c r="F16" s="25" t="s">
        <v>613</v>
      </c>
      <c r="G16" s="25"/>
      <c r="H16" s="215">
        <f>10*E154</f>
        <v>1.8500000000000005</v>
      </c>
      <c r="I16" s="133" t="s">
        <v>904</v>
      </c>
    </row>
    <row r="17" spans="1:13" x14ac:dyDescent="0.2">
      <c r="A17" s="141"/>
      <c r="B17" s="142"/>
      <c r="C17" s="142"/>
      <c r="D17" s="142"/>
      <c r="E17" s="142"/>
      <c r="F17" s="142"/>
      <c r="G17" s="142"/>
      <c r="H17" s="142"/>
      <c r="I17" s="135"/>
    </row>
    <row r="18" spans="1:13" x14ac:dyDescent="0.2">
      <c r="A18" s="130"/>
      <c r="B18" s="148"/>
      <c r="C18" s="148"/>
      <c r="D18" s="148"/>
      <c r="E18" s="148"/>
      <c r="F18" s="148"/>
      <c r="G18" s="148"/>
      <c r="H18" s="148"/>
      <c r="I18" s="131"/>
    </row>
    <row r="19" spans="1:13" x14ac:dyDescent="0.2">
      <c r="A19" s="144"/>
      <c r="B19" s="25"/>
      <c r="C19" s="25"/>
      <c r="D19" s="25"/>
      <c r="E19" s="212" t="s">
        <v>615</v>
      </c>
      <c r="F19" s="25"/>
      <c r="G19" s="25"/>
      <c r="H19" s="25"/>
      <c r="I19" s="133"/>
      <c r="K19" s="212" t="s">
        <v>685</v>
      </c>
    </row>
    <row r="20" spans="1:13" x14ac:dyDescent="0.2">
      <c r="A20" s="211" t="s">
        <v>616</v>
      </c>
      <c r="B20" s="25"/>
      <c r="C20" s="25"/>
      <c r="D20" s="25"/>
      <c r="E20" s="25"/>
      <c r="F20" s="25"/>
      <c r="G20" s="25"/>
      <c r="H20" s="25" t="s">
        <v>674</v>
      </c>
      <c r="I20" s="133" t="s">
        <v>676</v>
      </c>
      <c r="K20" t="s">
        <v>684</v>
      </c>
    </row>
    <row r="21" spans="1:13" x14ac:dyDescent="0.2">
      <c r="A21" s="144" t="s">
        <v>621</v>
      </c>
      <c r="B21" s="25"/>
      <c r="C21" s="25"/>
      <c r="D21" s="217">
        <f>E180</f>
        <v>252.08333333333334</v>
      </c>
      <c r="E21" s="25" t="s">
        <v>1020</v>
      </c>
      <c r="F21" s="217">
        <f>E167</f>
        <v>251.99965480481228</v>
      </c>
      <c r="G21" s="25" t="s">
        <v>63</v>
      </c>
      <c r="H21" s="25" t="s">
        <v>675</v>
      </c>
      <c r="I21" s="133" t="s">
        <v>677</v>
      </c>
      <c r="K21" t="s">
        <v>683</v>
      </c>
    </row>
    <row r="22" spans="1:13" x14ac:dyDescent="0.2">
      <c r="A22" s="144" t="s">
        <v>617</v>
      </c>
      <c r="B22" s="25"/>
      <c r="C22" s="25"/>
      <c r="D22" s="25">
        <f>E171</f>
        <v>1.8</v>
      </c>
      <c r="E22" s="25" t="s">
        <v>904</v>
      </c>
      <c r="F22" s="25">
        <f>E170</f>
        <v>1.8213358310987993</v>
      </c>
      <c r="G22" s="25" t="s">
        <v>63</v>
      </c>
      <c r="H22" s="25"/>
      <c r="I22" s="133"/>
    </row>
    <row r="23" spans="1:13" x14ac:dyDescent="0.2">
      <c r="A23" s="144" t="s">
        <v>618</v>
      </c>
      <c r="B23" s="25"/>
      <c r="C23" s="25"/>
      <c r="D23" s="25">
        <f>E172</f>
        <v>1.9</v>
      </c>
      <c r="E23" s="25" t="s">
        <v>904</v>
      </c>
      <c r="F23" s="25"/>
      <c r="G23" s="25"/>
      <c r="H23" s="25"/>
      <c r="I23" s="133"/>
      <c r="K23" s="237" t="s">
        <v>768</v>
      </c>
    </row>
    <row r="24" spans="1:13" ht="14.25" x14ac:dyDescent="0.2">
      <c r="A24" s="144" t="s">
        <v>619</v>
      </c>
      <c r="B24" s="25"/>
      <c r="C24" s="25"/>
      <c r="D24" s="218">
        <f>D22*D22*PI()/4</f>
        <v>2.5446900494077327</v>
      </c>
      <c r="E24" s="25" t="s">
        <v>1107</v>
      </c>
      <c r="F24" s="25">
        <f>E169</f>
        <v>2.6053732177587636</v>
      </c>
      <c r="G24" s="25" t="s">
        <v>63</v>
      </c>
      <c r="H24" s="25"/>
      <c r="I24" s="133"/>
      <c r="K24" t="s">
        <v>691</v>
      </c>
      <c r="L24" s="355"/>
    </row>
    <row r="25" spans="1:13" x14ac:dyDescent="0.2">
      <c r="A25" s="144" t="s">
        <v>620</v>
      </c>
      <c r="B25" s="25"/>
      <c r="C25" s="25"/>
      <c r="D25" s="25">
        <f>E178</f>
        <v>2</v>
      </c>
      <c r="E25" s="25"/>
      <c r="F25" s="25"/>
      <c r="G25" s="25"/>
      <c r="H25" s="25"/>
      <c r="I25" s="133"/>
      <c r="K25" t="s">
        <v>692</v>
      </c>
      <c r="L25" s="355"/>
    </row>
    <row r="26" spans="1:13" x14ac:dyDescent="0.2">
      <c r="A26" s="144" t="s">
        <v>520</v>
      </c>
      <c r="B26" s="25"/>
      <c r="C26" s="25"/>
      <c r="D26" s="25">
        <f>10*E179</f>
        <v>242</v>
      </c>
      <c r="E26" s="25" t="s">
        <v>904</v>
      </c>
      <c r="F26" s="212" t="s">
        <v>631</v>
      </c>
      <c r="G26" s="25"/>
      <c r="H26" s="25"/>
      <c r="I26" s="133"/>
    </row>
    <row r="27" spans="1:13" x14ac:dyDescent="0.2">
      <c r="A27" s="144"/>
      <c r="B27" s="25"/>
      <c r="C27" s="25"/>
      <c r="D27" s="25"/>
      <c r="E27" s="25"/>
      <c r="F27" s="25" t="s">
        <v>627</v>
      </c>
      <c r="G27" s="25"/>
      <c r="H27" s="214">
        <f>E196</f>
        <v>45.4</v>
      </c>
      <c r="I27" s="133" t="s">
        <v>904</v>
      </c>
      <c r="K27" t="s">
        <v>696</v>
      </c>
      <c r="M27">
        <f>7110/332</f>
        <v>21.41566265060241</v>
      </c>
    </row>
    <row r="28" spans="1:13" x14ac:dyDescent="0.2">
      <c r="A28" s="144" t="s">
        <v>622</v>
      </c>
      <c r="B28" s="25"/>
      <c r="C28" s="25"/>
      <c r="D28" s="25">
        <f>E184</f>
        <v>3.8</v>
      </c>
      <c r="E28" s="25" t="s">
        <v>904</v>
      </c>
      <c r="F28" s="25" t="s">
        <v>626</v>
      </c>
      <c r="G28" s="25"/>
      <c r="H28" s="214">
        <f>E197</f>
        <v>70</v>
      </c>
      <c r="I28" s="133" t="s">
        <v>904</v>
      </c>
      <c r="M28">
        <f>7220/332</f>
        <v>21.746987951807228</v>
      </c>
    </row>
    <row r="29" spans="1:13" x14ac:dyDescent="0.2">
      <c r="A29" s="219" t="s">
        <v>623</v>
      </c>
      <c r="B29" s="25"/>
      <c r="C29" s="25"/>
      <c r="D29" s="25">
        <f>E182</f>
        <v>0.45</v>
      </c>
      <c r="E29" s="25" t="s">
        <v>904</v>
      </c>
      <c r="F29" s="25" t="s">
        <v>612</v>
      </c>
      <c r="G29" s="25"/>
      <c r="H29" s="217">
        <f>E198</f>
        <v>310</v>
      </c>
      <c r="I29" s="133" t="s">
        <v>904</v>
      </c>
    </row>
    <row r="30" spans="1:13" x14ac:dyDescent="0.2">
      <c r="A30" s="144" t="s">
        <v>624</v>
      </c>
      <c r="B30" s="25"/>
      <c r="C30" s="25"/>
      <c r="D30" s="214">
        <f>H14</f>
        <v>34.900000000000006</v>
      </c>
      <c r="E30" s="25" t="s">
        <v>904</v>
      </c>
      <c r="F30" s="25" t="s">
        <v>613</v>
      </c>
      <c r="G30" s="25"/>
      <c r="H30" s="216">
        <f>E199</f>
        <v>12.3</v>
      </c>
      <c r="I30" s="133" t="s">
        <v>904</v>
      </c>
      <c r="K30" s="237" t="s">
        <v>773</v>
      </c>
    </row>
    <row r="31" spans="1:13" x14ac:dyDescent="0.2">
      <c r="A31" s="144" t="s">
        <v>625</v>
      </c>
      <c r="B31" s="25"/>
      <c r="C31" s="25"/>
      <c r="D31" s="214">
        <f>E185</f>
        <v>43.400000000000006</v>
      </c>
      <c r="E31" s="25" t="s">
        <v>904</v>
      </c>
      <c r="F31" s="25"/>
      <c r="G31" s="25"/>
      <c r="H31" s="25"/>
      <c r="I31" s="133"/>
      <c r="K31" t="s">
        <v>737</v>
      </c>
      <c r="L31" s="355"/>
    </row>
    <row r="32" spans="1:13" x14ac:dyDescent="0.2">
      <c r="A32" s="144"/>
      <c r="B32" s="25"/>
      <c r="C32" s="25"/>
      <c r="D32" s="25"/>
      <c r="E32" s="25"/>
      <c r="F32" s="25"/>
      <c r="G32" s="25"/>
      <c r="H32" s="25"/>
      <c r="I32" s="133"/>
      <c r="K32" t="s">
        <v>754</v>
      </c>
      <c r="L32" s="355"/>
    </row>
    <row r="33" spans="1:15" ht="14.25" x14ac:dyDescent="0.2">
      <c r="A33" s="144" t="s">
        <v>628</v>
      </c>
      <c r="B33" s="25"/>
      <c r="C33" s="25"/>
      <c r="D33" s="214">
        <f>E189</f>
        <v>122.99335238804042</v>
      </c>
      <c r="E33" s="25" t="s">
        <v>904</v>
      </c>
      <c r="F33" s="25" t="s">
        <v>632</v>
      </c>
      <c r="G33" s="25"/>
      <c r="H33" s="25">
        <f>D26*(D31-D30)/2</f>
        <v>1028.5</v>
      </c>
      <c r="I33" s="133" t="s">
        <v>1107</v>
      </c>
    </row>
    <row r="34" spans="1:15" ht="14.25" x14ac:dyDescent="0.2">
      <c r="A34" s="144" t="s">
        <v>629</v>
      </c>
      <c r="B34" s="25"/>
      <c r="C34" s="25"/>
      <c r="D34" s="214">
        <f>E190</f>
        <v>31.004574247818525</v>
      </c>
      <c r="E34" s="25" t="s">
        <v>980</v>
      </c>
      <c r="F34" s="25" t="s">
        <v>633</v>
      </c>
      <c r="G34" s="25"/>
      <c r="H34" s="214">
        <f>D21*D24</f>
        <v>641.47394995486593</v>
      </c>
      <c r="I34" s="133" t="s">
        <v>1107</v>
      </c>
      <c r="K34" t="s">
        <v>696</v>
      </c>
      <c r="M34">
        <f>11070/332</f>
        <v>33.343373493975903</v>
      </c>
    </row>
    <row r="35" spans="1:15" x14ac:dyDescent="0.2">
      <c r="A35" s="144" t="s">
        <v>630</v>
      </c>
      <c r="B35" s="25"/>
      <c r="C35" s="25"/>
      <c r="D35" s="213">
        <f>E193</f>
        <v>0.78500841851177316</v>
      </c>
      <c r="E35" s="25" t="s">
        <v>874</v>
      </c>
      <c r="F35" t="s">
        <v>634</v>
      </c>
      <c r="H35" s="221">
        <f>H34/H33</f>
        <v>0.62369854152150306</v>
      </c>
      <c r="I35" s="133"/>
      <c r="M35">
        <f>11170/332</f>
        <v>33.644578313253014</v>
      </c>
    </row>
    <row r="36" spans="1:15" x14ac:dyDescent="0.2">
      <c r="A36" s="141"/>
      <c r="B36" s="142"/>
      <c r="C36" s="142"/>
      <c r="D36" s="142"/>
      <c r="E36" s="142"/>
      <c r="F36" s="142"/>
      <c r="G36" s="142"/>
      <c r="H36" s="142"/>
      <c r="I36" s="135"/>
    </row>
    <row r="37" spans="1:15" x14ac:dyDescent="0.2">
      <c r="A37" s="130"/>
      <c r="B37" s="148"/>
      <c r="C37" s="148"/>
      <c r="D37" s="148"/>
      <c r="E37" s="148"/>
      <c r="F37" s="148"/>
      <c r="G37" s="148"/>
      <c r="H37" s="148"/>
      <c r="I37" s="131"/>
    </row>
    <row r="38" spans="1:15" x14ac:dyDescent="0.2">
      <c r="A38" s="144"/>
      <c r="B38" s="25"/>
      <c r="C38" s="25"/>
      <c r="D38" s="25"/>
      <c r="E38" s="212" t="s">
        <v>1087</v>
      </c>
      <c r="F38" s="25"/>
      <c r="G38" s="25"/>
      <c r="H38" s="25"/>
      <c r="I38" s="133"/>
      <c r="K38" s="3" t="s">
        <v>1087</v>
      </c>
      <c r="L38" s="25"/>
      <c r="M38" s="25"/>
      <c r="N38" s="25"/>
      <c r="O38" s="212"/>
    </row>
    <row r="39" spans="1:15" x14ac:dyDescent="0.2">
      <c r="A39" s="144"/>
      <c r="B39" s="25"/>
      <c r="C39" s="25"/>
      <c r="D39" s="25"/>
      <c r="E39" s="25"/>
      <c r="F39" s="25"/>
      <c r="G39" s="25"/>
      <c r="H39" s="25"/>
      <c r="I39" s="133"/>
      <c r="L39" s="25"/>
      <c r="M39" s="25"/>
      <c r="N39" s="25"/>
      <c r="O39" s="25"/>
    </row>
    <row r="40" spans="1:15" x14ac:dyDescent="0.2">
      <c r="A40" s="211" t="s">
        <v>616</v>
      </c>
      <c r="B40" s="25"/>
      <c r="C40" s="25"/>
      <c r="D40" s="25"/>
      <c r="E40" s="25"/>
      <c r="F40" s="212" t="s">
        <v>635</v>
      </c>
      <c r="G40" s="25"/>
      <c r="H40" s="25"/>
      <c r="I40" s="133"/>
      <c r="K40" t="s">
        <v>789</v>
      </c>
      <c r="L40" s="325">
        <v>15.15</v>
      </c>
      <c r="M40" t="s">
        <v>748</v>
      </c>
      <c r="N40" s="25"/>
      <c r="O40" s="25"/>
    </row>
    <row r="41" spans="1:15" x14ac:dyDescent="0.2">
      <c r="A41" s="144" t="s">
        <v>621</v>
      </c>
      <c r="B41" s="25"/>
      <c r="C41" s="25"/>
      <c r="D41" s="129">
        <f>E230</f>
        <v>25749</v>
      </c>
      <c r="E41" s="25" t="s">
        <v>913</v>
      </c>
      <c r="F41" s="25" t="s">
        <v>620</v>
      </c>
      <c r="G41" s="25"/>
      <c r="H41" s="128">
        <f>E245</f>
        <v>37.550624999999997</v>
      </c>
      <c r="I41" s="133" t="s">
        <v>975</v>
      </c>
    </row>
    <row r="42" spans="1:15" x14ac:dyDescent="0.2">
      <c r="A42" s="144" t="s">
        <v>617</v>
      </c>
      <c r="B42" s="25"/>
      <c r="C42" s="25"/>
      <c r="D42" s="79">
        <f>E235</f>
        <v>0.315</v>
      </c>
      <c r="E42" s="25" t="s">
        <v>904</v>
      </c>
      <c r="F42" s="25" t="s">
        <v>1016</v>
      </c>
      <c r="G42" s="25"/>
      <c r="H42" s="129">
        <f>E240</f>
        <v>685.71428571428578</v>
      </c>
      <c r="I42" s="133" t="s">
        <v>913</v>
      </c>
    </row>
    <row r="43" spans="1:15" x14ac:dyDescent="0.2">
      <c r="A43" s="144" t="s">
        <v>618</v>
      </c>
      <c r="B43" s="25"/>
      <c r="C43" s="25"/>
      <c r="D43" s="79">
        <f>E236</f>
        <v>0.35</v>
      </c>
      <c r="E43" s="25" t="s">
        <v>904</v>
      </c>
      <c r="F43" s="25" t="s">
        <v>1017</v>
      </c>
      <c r="G43" s="25"/>
      <c r="H43" s="129">
        <f>E241</f>
        <v>685.71428571428578</v>
      </c>
      <c r="I43" s="133" t="s">
        <v>913</v>
      </c>
    </row>
    <row r="44" spans="1:15" ht="14.25" x14ac:dyDescent="0.2">
      <c r="A44" s="144" t="s">
        <v>619</v>
      </c>
      <c r="B44" s="25"/>
      <c r="C44" s="25"/>
      <c r="D44" s="218">
        <f>D42*D42*PI()/4</f>
        <v>7.793113276311181E-2</v>
      </c>
      <c r="E44" s="25" t="s">
        <v>1107</v>
      </c>
      <c r="F44" s="25" t="s">
        <v>639</v>
      </c>
      <c r="G44" s="25"/>
      <c r="H44" s="129">
        <f>E242</f>
        <v>685.71428571428578</v>
      </c>
      <c r="I44" s="133" t="s">
        <v>913</v>
      </c>
    </row>
    <row r="45" spans="1:15" x14ac:dyDescent="0.2">
      <c r="A45" s="144"/>
      <c r="B45" s="25"/>
      <c r="C45" s="25"/>
      <c r="D45" s="25"/>
      <c r="E45" s="25"/>
      <c r="F45" s="25" t="s">
        <v>640</v>
      </c>
      <c r="G45" s="25"/>
      <c r="H45" s="222">
        <f>E243</f>
        <v>0</v>
      </c>
      <c r="I45" s="133" t="s">
        <v>913</v>
      </c>
      <c r="K45" s="237" t="s">
        <v>745</v>
      </c>
    </row>
    <row r="46" spans="1:15" x14ac:dyDescent="0.2">
      <c r="A46" s="219" t="s">
        <v>636</v>
      </c>
      <c r="B46" s="25"/>
      <c r="C46" s="25"/>
      <c r="D46" s="214">
        <f>E239</f>
        <v>5.1170875000000002</v>
      </c>
      <c r="E46" s="25" t="s">
        <v>904</v>
      </c>
      <c r="F46" s="25"/>
      <c r="G46" s="25"/>
      <c r="H46" s="25"/>
      <c r="I46" s="133"/>
      <c r="K46" t="s">
        <v>752</v>
      </c>
      <c r="L46" s="355"/>
    </row>
    <row r="47" spans="1:15" x14ac:dyDescent="0.2">
      <c r="A47" s="144" t="s">
        <v>637</v>
      </c>
      <c r="B47" s="25"/>
      <c r="C47" s="25"/>
      <c r="D47" s="214">
        <f>H41*D43</f>
        <v>13.142718749999998</v>
      </c>
      <c r="E47" s="25" t="s">
        <v>904</v>
      </c>
      <c r="F47" s="25" t="s">
        <v>642</v>
      </c>
      <c r="G47" s="25"/>
      <c r="H47" s="128">
        <f>E232</f>
        <v>240</v>
      </c>
      <c r="I47" s="133" t="s">
        <v>904</v>
      </c>
      <c r="K47" t="s">
        <v>753</v>
      </c>
      <c r="L47" s="355"/>
      <c r="N47" s="25"/>
      <c r="O47" s="25"/>
    </row>
    <row r="48" spans="1:15" x14ac:dyDescent="0.2">
      <c r="A48" s="144" t="s">
        <v>638</v>
      </c>
      <c r="B48" s="25"/>
      <c r="C48" s="25"/>
      <c r="D48" s="214">
        <f>(D50-D49)/2</f>
        <v>17.085534374999995</v>
      </c>
      <c r="E48" s="25" t="s">
        <v>904</v>
      </c>
      <c r="F48" s="25" t="s">
        <v>643</v>
      </c>
      <c r="G48" s="25"/>
      <c r="H48" s="128">
        <f>E234</f>
        <v>240</v>
      </c>
      <c r="I48" s="133" t="s">
        <v>904</v>
      </c>
      <c r="N48" s="214"/>
      <c r="O48" s="25"/>
    </row>
    <row r="49" spans="1:15" x14ac:dyDescent="0.2">
      <c r="A49" s="144" t="s">
        <v>624</v>
      </c>
      <c r="B49" s="25"/>
      <c r="C49" s="25"/>
      <c r="D49" s="128">
        <f>E231</f>
        <v>70</v>
      </c>
      <c r="E49" s="25" t="s">
        <v>904</v>
      </c>
      <c r="F49" s="25" t="s">
        <v>644</v>
      </c>
      <c r="G49" s="25"/>
      <c r="H49" s="128">
        <f>E233</f>
        <v>240</v>
      </c>
      <c r="I49" s="133" t="s">
        <v>904</v>
      </c>
      <c r="K49" t="s">
        <v>696</v>
      </c>
      <c r="M49">
        <f>126.6/L40</f>
        <v>8.3564356435643568</v>
      </c>
      <c r="N49" s="222" t="s">
        <v>749</v>
      </c>
      <c r="O49" s="25" t="s">
        <v>751</v>
      </c>
    </row>
    <row r="50" spans="1:15" x14ac:dyDescent="0.2">
      <c r="A50" s="144" t="s">
        <v>625</v>
      </c>
      <c r="B50" s="25"/>
      <c r="C50" s="25"/>
      <c r="D50" s="128">
        <f>E246</f>
        <v>104.17106874999999</v>
      </c>
      <c r="E50" s="25" t="s">
        <v>904</v>
      </c>
      <c r="F50" s="25" t="s">
        <v>641</v>
      </c>
      <c r="G50" s="25"/>
      <c r="H50" s="222">
        <f>2*E247</f>
        <v>0</v>
      </c>
      <c r="I50" s="133" t="s">
        <v>904</v>
      </c>
      <c r="M50">
        <f>111.9/L40</f>
        <v>7.3861386138613865</v>
      </c>
      <c r="N50" s="128" t="s">
        <v>750</v>
      </c>
      <c r="O50" s="25"/>
    </row>
    <row r="51" spans="1:15" x14ac:dyDescent="0.2">
      <c r="A51" s="144"/>
      <c r="B51" s="25"/>
      <c r="C51" s="25"/>
      <c r="D51" s="25"/>
      <c r="E51" s="25"/>
      <c r="F51" s="25"/>
      <c r="G51" s="25"/>
      <c r="H51" s="25"/>
      <c r="I51" s="133"/>
    </row>
    <row r="52" spans="1:15" x14ac:dyDescent="0.2">
      <c r="A52" s="144"/>
      <c r="B52" s="25"/>
      <c r="C52" s="25"/>
      <c r="D52" s="129"/>
      <c r="E52" s="25"/>
      <c r="F52" s="25" t="s">
        <v>646</v>
      </c>
      <c r="G52" s="25"/>
      <c r="H52" s="79">
        <f>E237</f>
        <v>0.1</v>
      </c>
      <c r="I52" s="133" t="s">
        <v>647</v>
      </c>
    </row>
    <row r="53" spans="1:15" x14ac:dyDescent="0.2">
      <c r="A53" s="144"/>
      <c r="B53" s="25"/>
      <c r="C53" s="25"/>
      <c r="D53" s="223"/>
      <c r="E53" s="25"/>
      <c r="F53" s="25" t="s">
        <v>645</v>
      </c>
      <c r="G53" s="25"/>
      <c r="H53" s="79">
        <f>E238</f>
        <v>0.04</v>
      </c>
      <c r="I53" s="133" t="s">
        <v>647</v>
      </c>
    </row>
    <row r="54" spans="1:15" x14ac:dyDescent="0.2">
      <c r="A54" s="144"/>
      <c r="B54" s="25"/>
      <c r="C54" s="25"/>
      <c r="D54" s="25"/>
      <c r="E54" s="25"/>
      <c r="F54" s="25"/>
      <c r="G54" s="25"/>
      <c r="H54" s="25"/>
      <c r="I54" s="133"/>
    </row>
    <row r="55" spans="1:15" x14ac:dyDescent="0.2">
      <c r="A55" s="144" t="s">
        <v>628</v>
      </c>
      <c r="B55" s="25"/>
      <c r="C55" s="25"/>
      <c r="D55" s="128">
        <f>E249</f>
        <v>273.58727502644138</v>
      </c>
      <c r="E55" s="25" t="s">
        <v>904</v>
      </c>
      <c r="F55" s="25" t="s">
        <v>632</v>
      </c>
      <c r="G55" s="25"/>
      <c r="H55" s="217">
        <f>H48*(D50-D49)/2</f>
        <v>4100.5282499999985</v>
      </c>
      <c r="I55" s="133" t="s">
        <v>100</v>
      </c>
    </row>
    <row r="56" spans="1:15" x14ac:dyDescent="0.2">
      <c r="A56" s="144" t="s">
        <v>629</v>
      </c>
      <c r="B56" s="25"/>
      <c r="C56" s="25"/>
      <c r="D56" s="129">
        <f>E250</f>
        <v>7044.5987446558393</v>
      </c>
      <c r="E56" s="25" t="s">
        <v>980</v>
      </c>
      <c r="F56" s="25" t="s">
        <v>633</v>
      </c>
      <c r="G56" s="25"/>
      <c r="H56" s="217">
        <f>D44*D41</f>
        <v>2006.648737517366</v>
      </c>
      <c r="I56" s="133" t="s">
        <v>100</v>
      </c>
    </row>
    <row r="57" spans="1:15" x14ac:dyDescent="0.2">
      <c r="A57" s="144" t="s">
        <v>630</v>
      </c>
      <c r="B57" s="25"/>
      <c r="C57" s="25"/>
      <c r="D57" s="223">
        <f>E251</f>
        <v>4.9025124910913425</v>
      </c>
      <c r="E57" s="25" t="s">
        <v>874</v>
      </c>
      <c r="F57" t="s">
        <v>634</v>
      </c>
      <c r="G57" s="25"/>
      <c r="H57" s="224">
        <f>H56/H55</f>
        <v>0.48936347103994876</v>
      </c>
      <c r="I57" s="133"/>
    </row>
    <row r="58" spans="1:15" x14ac:dyDescent="0.2">
      <c r="A58" s="141"/>
      <c r="B58" s="142"/>
      <c r="C58" s="142"/>
      <c r="D58" s="142"/>
      <c r="E58" s="142"/>
      <c r="F58" s="142"/>
      <c r="G58" s="142"/>
      <c r="H58" s="142"/>
      <c r="I58" s="135"/>
    </row>
    <row r="60" spans="1:15" ht="20.25" x14ac:dyDescent="0.3">
      <c r="E60" s="210" t="s">
        <v>679</v>
      </c>
    </row>
    <row r="62" spans="1:15" x14ac:dyDescent="0.2">
      <c r="D62" t="s">
        <v>1021</v>
      </c>
      <c r="E62" s="286" t="str">
        <f>E3</f>
        <v>Kleiner Induktor 2004: 26k/252 Windungen</v>
      </c>
    </row>
    <row r="64" spans="1:15" x14ac:dyDescent="0.2">
      <c r="A64" s="227" t="s">
        <v>648</v>
      </c>
      <c r="B64" s="148"/>
      <c r="C64" s="148"/>
      <c r="D64" s="148"/>
      <c r="E64" s="228"/>
      <c r="F64" s="228" t="s">
        <v>614</v>
      </c>
      <c r="G64" s="148"/>
      <c r="H64" s="148"/>
      <c r="I64" s="131"/>
    </row>
    <row r="65" spans="1:12" x14ac:dyDescent="0.2">
      <c r="A65" s="144"/>
      <c r="B65" s="25"/>
      <c r="C65" s="25"/>
      <c r="D65" s="25"/>
      <c r="E65" s="25"/>
      <c r="F65" s="25"/>
      <c r="G65" s="25"/>
      <c r="H65" s="25"/>
      <c r="I65" s="133"/>
    </row>
    <row r="66" spans="1:12" x14ac:dyDescent="0.2">
      <c r="A66" s="144" t="s">
        <v>665</v>
      </c>
      <c r="B66" s="25"/>
      <c r="C66" s="25"/>
      <c r="D66" s="216">
        <f>E129</f>
        <v>12</v>
      </c>
      <c r="E66" s="25" t="s">
        <v>834</v>
      </c>
      <c r="F66" s="25"/>
      <c r="G66" s="25"/>
      <c r="H66" s="25"/>
      <c r="I66" s="133"/>
    </row>
    <row r="67" spans="1:12" x14ac:dyDescent="0.2">
      <c r="A67" s="144" t="s">
        <v>666</v>
      </c>
      <c r="B67" s="25"/>
      <c r="C67" s="25"/>
      <c r="D67" s="217">
        <f>E130</f>
        <v>84080.418077382928</v>
      </c>
      <c r="E67" s="25" t="s">
        <v>837</v>
      </c>
      <c r="F67" s="25"/>
      <c r="G67" s="25"/>
      <c r="H67" s="25"/>
      <c r="I67" s="133"/>
    </row>
    <row r="68" spans="1:12" x14ac:dyDescent="0.2">
      <c r="A68" s="144" t="s">
        <v>667</v>
      </c>
      <c r="B68" s="25"/>
      <c r="C68" s="25"/>
      <c r="D68" s="214">
        <f>E131</f>
        <v>1.1234117885079127</v>
      </c>
      <c r="E68" s="25" t="s">
        <v>840</v>
      </c>
      <c r="F68" s="25" t="s">
        <v>671</v>
      </c>
      <c r="G68" s="25"/>
      <c r="H68" s="129">
        <f>E219</f>
        <v>9300.0186000371996</v>
      </c>
      <c r="I68" s="229" t="s">
        <v>931</v>
      </c>
    </row>
    <row r="69" spans="1:12" x14ac:dyDescent="0.2">
      <c r="A69" s="144" t="s">
        <v>668</v>
      </c>
      <c r="B69" s="25"/>
      <c r="C69" s="25"/>
      <c r="D69" s="217">
        <f>E132</f>
        <v>94.456932850805799</v>
      </c>
      <c r="E69" s="25" t="s">
        <v>843</v>
      </c>
      <c r="F69" s="25" t="s">
        <v>672</v>
      </c>
      <c r="G69" s="25"/>
      <c r="H69" s="129">
        <f>E220</f>
        <v>60096.552449076255</v>
      </c>
      <c r="I69" s="229" t="s">
        <v>933</v>
      </c>
    </row>
    <row r="70" spans="1:12" x14ac:dyDescent="0.2">
      <c r="A70" s="144" t="s">
        <v>669</v>
      </c>
      <c r="B70" s="25"/>
      <c r="C70" s="25"/>
      <c r="D70" s="25">
        <f>E136</f>
        <v>236.1423321270145</v>
      </c>
      <c r="E70" s="25" t="s">
        <v>843</v>
      </c>
      <c r="F70" s="25"/>
      <c r="G70" s="25"/>
      <c r="H70" s="25"/>
      <c r="I70" s="133"/>
    </row>
    <row r="71" spans="1:12" x14ac:dyDescent="0.2">
      <c r="A71" s="144" t="s">
        <v>670</v>
      </c>
      <c r="B71" s="25"/>
      <c r="C71" s="25"/>
      <c r="D71" s="224">
        <f>E135</f>
        <v>0.4</v>
      </c>
      <c r="E71" s="25"/>
      <c r="F71" s="25"/>
      <c r="G71" s="25"/>
      <c r="H71" s="25"/>
      <c r="I71" s="133"/>
    </row>
    <row r="72" spans="1:12" x14ac:dyDescent="0.2">
      <c r="A72" s="141"/>
      <c r="B72" s="142"/>
      <c r="C72" s="142"/>
      <c r="D72" s="142"/>
      <c r="E72" s="142"/>
      <c r="F72" s="142"/>
      <c r="G72" s="142"/>
      <c r="H72" s="142"/>
      <c r="I72" s="135"/>
    </row>
    <row r="73" spans="1:12" x14ac:dyDescent="0.2">
      <c r="A73" s="130"/>
      <c r="B73" s="148"/>
      <c r="C73" s="148"/>
      <c r="D73" s="148"/>
      <c r="E73" s="148"/>
      <c r="F73" s="148"/>
      <c r="G73" s="148"/>
      <c r="H73" s="148"/>
      <c r="I73" s="131"/>
    </row>
    <row r="74" spans="1:12" x14ac:dyDescent="0.2">
      <c r="A74" s="211" t="s">
        <v>649</v>
      </c>
      <c r="B74" s="25"/>
      <c r="C74" s="25"/>
      <c r="D74" s="25"/>
      <c r="E74" s="25"/>
      <c r="F74" s="212" t="s">
        <v>650</v>
      </c>
      <c r="G74" s="25"/>
      <c r="H74" s="25"/>
      <c r="I74" s="230"/>
    </row>
    <row r="75" spans="1:12" x14ac:dyDescent="0.2">
      <c r="A75" s="144"/>
      <c r="B75" s="25"/>
      <c r="C75" s="25"/>
      <c r="D75" s="25"/>
      <c r="E75" s="25"/>
      <c r="F75" s="25"/>
      <c r="G75" s="25"/>
      <c r="H75" s="25"/>
      <c r="I75" s="230"/>
    </row>
    <row r="76" spans="1:12" x14ac:dyDescent="0.2">
      <c r="A76" s="144" t="s">
        <v>651</v>
      </c>
      <c r="B76" s="25"/>
      <c r="C76" s="25"/>
      <c r="D76" s="25">
        <f>E160</f>
        <v>28.832614591717078</v>
      </c>
      <c r="E76" s="25" t="s">
        <v>837</v>
      </c>
      <c r="F76" s="25" t="s">
        <v>659</v>
      </c>
      <c r="G76" s="25"/>
      <c r="H76" s="234">
        <f>E217</f>
        <v>102.17871139523595</v>
      </c>
      <c r="I76" s="133"/>
      <c r="J76" s="33" t="s">
        <v>138</v>
      </c>
      <c r="K76">
        <f>D41/D21</f>
        <v>102.14479338842975</v>
      </c>
      <c r="L76" t="s">
        <v>139</v>
      </c>
    </row>
    <row r="77" spans="1:12" ht="15.75" x14ac:dyDescent="0.3">
      <c r="A77" s="144" t="s">
        <v>652</v>
      </c>
      <c r="B77" s="25"/>
      <c r="C77" s="25"/>
      <c r="D77" s="25">
        <f>E161</f>
        <v>100</v>
      </c>
      <c r="E77" s="25" t="s">
        <v>893</v>
      </c>
      <c r="F77" s="25" t="s">
        <v>660</v>
      </c>
      <c r="G77" s="25"/>
      <c r="H77" s="128">
        <f t="shared" ref="H77:H83" si="0">M244</f>
        <v>15.274088479262291</v>
      </c>
      <c r="I77" s="133" t="s">
        <v>898</v>
      </c>
    </row>
    <row r="78" spans="1:12" x14ac:dyDescent="0.2">
      <c r="A78" s="144" t="s">
        <v>653</v>
      </c>
      <c r="B78" s="25"/>
      <c r="C78" s="25"/>
      <c r="D78" s="25">
        <f>E162</f>
        <v>8.1901116312515256</v>
      </c>
      <c r="E78" s="25" t="s">
        <v>895</v>
      </c>
      <c r="F78" s="25" t="s">
        <v>673</v>
      </c>
      <c r="G78" s="25"/>
      <c r="H78" s="209">
        <f t="shared" si="0"/>
        <v>8.1199999999999992</v>
      </c>
      <c r="I78" s="133"/>
    </row>
    <row r="79" spans="1:12" ht="15.75" x14ac:dyDescent="0.3">
      <c r="A79" s="144" t="s">
        <v>654</v>
      </c>
      <c r="B79" s="25"/>
      <c r="C79" s="25"/>
      <c r="D79" s="216">
        <f>E168</f>
        <v>3.1435464122475918</v>
      </c>
      <c r="E79" s="25" t="s">
        <v>120</v>
      </c>
      <c r="F79" s="25" t="s">
        <v>1120</v>
      </c>
      <c r="G79" s="25"/>
      <c r="H79" s="128">
        <f t="shared" si="0"/>
        <v>124.0255984516098</v>
      </c>
      <c r="I79" s="133" t="s">
        <v>898</v>
      </c>
    </row>
    <row r="80" spans="1:12" x14ac:dyDescent="0.2">
      <c r="A80" s="144" t="s">
        <v>655</v>
      </c>
      <c r="B80" s="25"/>
      <c r="C80" s="25"/>
      <c r="D80" s="218">
        <f>E191</f>
        <v>0.21760673611111114</v>
      </c>
      <c r="E80" s="25" t="s">
        <v>965</v>
      </c>
      <c r="F80" s="25" t="s">
        <v>661</v>
      </c>
      <c r="G80" s="25"/>
      <c r="H80" s="129">
        <f t="shared" si="0"/>
        <v>1614.4579081379363</v>
      </c>
      <c r="I80" s="133" t="s">
        <v>965</v>
      </c>
    </row>
    <row r="81" spans="1:10" x14ac:dyDescent="0.2">
      <c r="A81" s="144" t="s">
        <v>656</v>
      </c>
      <c r="B81" s="25"/>
      <c r="C81" s="25" t="str">
        <f>CONCATENATE(TEXT(C192,"###0")," turns")</f>
        <v>252 turns</v>
      </c>
      <c r="D81" s="218">
        <f>1000*E192</f>
        <v>12.459201152248655</v>
      </c>
      <c r="E81" s="25" t="s">
        <v>995</v>
      </c>
      <c r="F81" s="25" t="s">
        <v>662</v>
      </c>
      <c r="G81" s="25"/>
      <c r="H81" s="128">
        <f t="shared" si="0"/>
        <v>4</v>
      </c>
      <c r="I81" s="133" t="s">
        <v>120</v>
      </c>
    </row>
    <row r="82" spans="1:10" x14ac:dyDescent="0.2">
      <c r="A82" s="144" t="s">
        <v>657</v>
      </c>
      <c r="B82" s="25"/>
      <c r="C82" s="25"/>
      <c r="D82" s="214">
        <f>D81/D80</f>
        <v>57.255585810022538</v>
      </c>
      <c r="E82" s="25" t="s">
        <v>130</v>
      </c>
      <c r="F82" s="25" t="s">
        <v>663</v>
      </c>
      <c r="G82" s="25"/>
      <c r="H82" s="128">
        <f t="shared" si="0"/>
        <v>311.72453105244722</v>
      </c>
      <c r="I82" s="133" t="s">
        <v>840</v>
      </c>
    </row>
    <row r="83" spans="1:10" x14ac:dyDescent="0.2">
      <c r="A83" s="144" t="s">
        <v>658</v>
      </c>
      <c r="B83" s="25"/>
      <c r="C83" s="25"/>
      <c r="D83" s="217">
        <f>E225</f>
        <v>822.87608572545719</v>
      </c>
      <c r="E83" s="25" t="s">
        <v>837</v>
      </c>
      <c r="F83" s="25" t="s">
        <v>664</v>
      </c>
      <c r="G83" s="25"/>
      <c r="H83" s="128">
        <f t="shared" si="0"/>
        <v>156.8803997149229</v>
      </c>
      <c r="I83" s="133" t="s">
        <v>971</v>
      </c>
    </row>
    <row r="84" spans="1:10" x14ac:dyDescent="0.2">
      <c r="A84" s="141"/>
      <c r="B84" s="142"/>
      <c r="C84" s="142"/>
      <c r="D84" s="232"/>
      <c r="E84" s="142"/>
      <c r="F84" s="142"/>
      <c r="G84" s="142"/>
      <c r="H84" s="142"/>
      <c r="I84" s="135"/>
    </row>
    <row r="86" spans="1:10" ht="20.25" x14ac:dyDescent="0.3">
      <c r="A86" s="46" t="s">
        <v>466</v>
      </c>
    </row>
    <row r="88" spans="1:10" x14ac:dyDescent="0.2">
      <c r="C88" s="2" t="s">
        <v>410</v>
      </c>
      <c r="D88" s="2" t="s">
        <v>413</v>
      </c>
      <c r="E88" s="2" t="s">
        <v>857</v>
      </c>
      <c r="F88" s="2" t="s">
        <v>414</v>
      </c>
      <c r="H88" t="s">
        <v>420</v>
      </c>
    </row>
    <row r="89" spans="1:10" x14ac:dyDescent="0.2">
      <c r="A89" s="3" t="s">
        <v>409</v>
      </c>
      <c r="B89" s="2" t="s">
        <v>411</v>
      </c>
      <c r="C89" s="287">
        <v>0</v>
      </c>
      <c r="D89" s="288">
        <f>D13/20</f>
        <v>15.117733307339872</v>
      </c>
      <c r="E89" s="290">
        <f>D12/20</f>
        <v>1.5117733307339873</v>
      </c>
      <c r="F89" s="288">
        <f>D89</f>
        <v>15.117733307339872</v>
      </c>
      <c r="G89" t="s">
        <v>421</v>
      </c>
      <c r="H89" s="53">
        <v>0.35</v>
      </c>
      <c r="I89" t="s">
        <v>904</v>
      </c>
    </row>
    <row r="90" spans="1:10" x14ac:dyDescent="0.2">
      <c r="A90" t="s">
        <v>416</v>
      </c>
      <c r="B90" t="s">
        <v>412</v>
      </c>
      <c r="C90" s="287">
        <v>0</v>
      </c>
      <c r="D90" s="288">
        <f>-D89</f>
        <v>-15.117733307339872</v>
      </c>
      <c r="E90" s="290">
        <f>E89</f>
        <v>1.5117733307339873</v>
      </c>
      <c r="F90" s="288">
        <f>-F89</f>
        <v>-15.117733307339872</v>
      </c>
      <c r="G90" t="s">
        <v>422</v>
      </c>
      <c r="H90" s="291">
        <v>0.9</v>
      </c>
      <c r="I90" s="30" t="s">
        <v>423</v>
      </c>
    </row>
    <row r="92" spans="1:10" x14ac:dyDescent="0.2">
      <c r="C92" s="2" t="s">
        <v>410</v>
      </c>
      <c r="D92" s="2" t="s">
        <v>413</v>
      </c>
      <c r="E92" s="2" t="s">
        <v>857</v>
      </c>
      <c r="F92" s="2" t="s">
        <v>414</v>
      </c>
      <c r="H92" t="s">
        <v>415</v>
      </c>
    </row>
    <row r="93" spans="1:10" ht="15.75" x14ac:dyDescent="0.3">
      <c r="A93" s="3" t="s">
        <v>1088</v>
      </c>
      <c r="B93" s="2" t="s">
        <v>411</v>
      </c>
      <c r="C93" s="290">
        <f>H14/20</f>
        <v>1.7450000000000003</v>
      </c>
      <c r="D93" s="292">
        <f>D26/20</f>
        <v>12.1</v>
      </c>
      <c r="E93" s="290">
        <f>D31/20</f>
        <v>2.1700000000000004</v>
      </c>
      <c r="F93" s="288">
        <f>D93</f>
        <v>12.1</v>
      </c>
      <c r="G93" t="s">
        <v>834</v>
      </c>
      <c r="H93" t="s">
        <v>457</v>
      </c>
    </row>
    <row r="94" spans="1:10" ht="14.25" x14ac:dyDescent="0.2">
      <c r="A94" t="s">
        <v>417</v>
      </c>
      <c r="B94" t="s">
        <v>412</v>
      </c>
      <c r="C94" s="290">
        <f>C93</f>
        <v>1.7450000000000003</v>
      </c>
      <c r="D94" s="292">
        <f>-D93</f>
        <v>-12.1</v>
      </c>
      <c r="E94" s="290">
        <f>E93</f>
        <v>2.1700000000000004</v>
      </c>
      <c r="F94" s="288">
        <f>-F93</f>
        <v>-12.1</v>
      </c>
      <c r="G94" t="s">
        <v>834</v>
      </c>
      <c r="H94" s="58">
        <f>D21*D78/((E93-C93)*2*F93*100)</f>
        <v>2.0073803017773346</v>
      </c>
      <c r="I94" t="s">
        <v>432</v>
      </c>
      <c r="J94" t="s">
        <v>419</v>
      </c>
    </row>
    <row r="96" spans="1:10" ht="15.75" x14ac:dyDescent="0.3">
      <c r="C96" s="2" t="s">
        <v>410</v>
      </c>
      <c r="D96" s="2" t="s">
        <v>413</v>
      </c>
      <c r="E96" s="2" t="s">
        <v>857</v>
      </c>
      <c r="F96" s="2" t="s">
        <v>414</v>
      </c>
      <c r="H96" t="s">
        <v>415</v>
      </c>
      <c r="J96" s="2" t="s">
        <v>424</v>
      </c>
    </row>
    <row r="97" spans="1:10" ht="15.75" x14ac:dyDescent="0.3">
      <c r="A97" s="3" t="s">
        <v>418</v>
      </c>
      <c r="B97" s="2" t="s">
        <v>411</v>
      </c>
      <c r="C97" s="290">
        <f>D49/20</f>
        <v>3.5</v>
      </c>
      <c r="D97" s="288">
        <f>H47/20</f>
        <v>12</v>
      </c>
      <c r="E97" s="290">
        <f>D50/20</f>
        <v>5.2085534374999991</v>
      </c>
      <c r="F97" s="288">
        <f>H49/20</f>
        <v>12</v>
      </c>
      <c r="G97" t="s">
        <v>834</v>
      </c>
      <c r="H97" t="s">
        <v>456</v>
      </c>
      <c r="J97" s="289">
        <f>D41*D68*0.001</f>
        <v>28.926730142290243</v>
      </c>
    </row>
    <row r="98" spans="1:10" ht="15.75" x14ac:dyDescent="0.3">
      <c r="A98" t="s">
        <v>417</v>
      </c>
      <c r="B98" t="s">
        <v>412</v>
      </c>
      <c r="C98" s="290">
        <f>C97</f>
        <v>3.5</v>
      </c>
      <c r="D98" s="288">
        <f>-D97</f>
        <v>-12</v>
      </c>
      <c r="E98" s="290">
        <f>E97</f>
        <v>5.2085534374999991</v>
      </c>
      <c r="F98" s="288">
        <f>-F97</f>
        <v>-12</v>
      </c>
      <c r="G98" t="s">
        <v>834</v>
      </c>
      <c r="H98" s="58">
        <f>G103/H55</f>
        <v>0.50349382189428626</v>
      </c>
      <c r="I98" t="s">
        <v>432</v>
      </c>
      <c r="J98" t="s">
        <v>433</v>
      </c>
    </row>
    <row r="99" spans="1:10" ht="14.25" x14ac:dyDescent="0.2">
      <c r="H99">
        <f>D41*0.001*D68/((E97-C97)*(D97+F97)*100)</f>
        <v>7.0543911366273988E-3</v>
      </c>
      <c r="I99" t="s">
        <v>432</v>
      </c>
      <c r="J99" t="s">
        <v>425</v>
      </c>
    </row>
    <row r="101" spans="1:10" ht="20.25" x14ac:dyDescent="0.3">
      <c r="B101" s="46" t="s">
        <v>465</v>
      </c>
    </row>
    <row r="103" spans="1:10" ht="15.75" x14ac:dyDescent="0.3">
      <c r="F103" s="33" t="s">
        <v>460</v>
      </c>
      <c r="G103" s="260">
        <f>D21*D78</f>
        <v>2064.5906403779886</v>
      </c>
      <c r="H103" t="s">
        <v>895</v>
      </c>
    </row>
    <row r="104" spans="1:10" ht="15.75" x14ac:dyDescent="0.3">
      <c r="B104" t="s">
        <v>458</v>
      </c>
      <c r="C104" s="28">
        <v>0.91120000000000001</v>
      </c>
      <c r="D104" t="s">
        <v>459</v>
      </c>
      <c r="F104" s="33" t="s">
        <v>455</v>
      </c>
      <c r="G104" s="10">
        <f>D78</f>
        <v>8.1901116312515256</v>
      </c>
      <c r="H104" t="s">
        <v>895</v>
      </c>
    </row>
    <row r="105" spans="1:10" ht="15.75" x14ac:dyDescent="0.3">
      <c r="A105" t="s">
        <v>440</v>
      </c>
      <c r="C105" s="293">
        <v>0.74499850000000001</v>
      </c>
      <c r="D105" t="s">
        <v>428</v>
      </c>
      <c r="F105" t="s">
        <v>438</v>
      </c>
      <c r="G105" s="10">
        <f>1000*C105/(D78*D78)</f>
        <v>11.10646253246443</v>
      </c>
      <c r="H105" t="s">
        <v>995</v>
      </c>
      <c r="J105" t="s">
        <v>451</v>
      </c>
    </row>
    <row r="106" spans="1:10" ht="15.75" x14ac:dyDescent="0.3">
      <c r="A106" t="s">
        <v>450</v>
      </c>
      <c r="C106" s="293">
        <v>0.36563499999999999</v>
      </c>
      <c r="D106" t="s">
        <v>427</v>
      </c>
      <c r="F106" t="s">
        <v>445</v>
      </c>
      <c r="G106" s="10">
        <f>2000*C106/(D78*D78)</f>
        <v>10.901797595720344</v>
      </c>
      <c r="H106" t="s">
        <v>995</v>
      </c>
      <c r="J106" t="s">
        <v>452</v>
      </c>
    </row>
    <row r="107" spans="1:10" ht="15.75" x14ac:dyDescent="0.3">
      <c r="A107" t="s">
        <v>429</v>
      </c>
      <c r="C107" s="293">
        <v>1.363248E-6</v>
      </c>
      <c r="D107" t="s">
        <v>439</v>
      </c>
      <c r="F107" s="33" t="s">
        <v>463</v>
      </c>
      <c r="G107" s="29">
        <f>1000*(D41/(D78*(0.000001*H55)))*C107</f>
        <v>1045.2149356432826</v>
      </c>
      <c r="H107" t="s">
        <v>995</v>
      </c>
      <c r="J107" t="s">
        <v>448</v>
      </c>
    </row>
    <row r="108" spans="1:10" ht="15.75" x14ac:dyDescent="0.3">
      <c r="A108" t="s">
        <v>431</v>
      </c>
      <c r="C108" s="293">
        <v>4.0800000000000003E-3</v>
      </c>
      <c r="D108" t="s">
        <v>430</v>
      </c>
      <c r="F108" s="33" t="s">
        <v>462</v>
      </c>
      <c r="G108" s="10">
        <f>0.001*G107/SQRT(0.001*G105*G113)</f>
        <v>0.93918160335801681</v>
      </c>
      <c r="H108" t="s">
        <v>423</v>
      </c>
    </row>
    <row r="109" spans="1:10" x14ac:dyDescent="0.2">
      <c r="C109" s="294"/>
    </row>
    <row r="111" spans="1:10" ht="15.75" x14ac:dyDescent="0.3">
      <c r="C111" s="31"/>
      <c r="F111" s="33" t="s">
        <v>461</v>
      </c>
      <c r="G111" s="260">
        <f>G103</f>
        <v>2064.5906403779886</v>
      </c>
      <c r="H111" t="s">
        <v>895</v>
      </c>
    </row>
    <row r="112" spans="1:10" ht="15.75" x14ac:dyDescent="0.3">
      <c r="B112" t="s">
        <v>458</v>
      </c>
      <c r="C112" s="28">
        <v>0.87027526948618505</v>
      </c>
      <c r="D112" t="s">
        <v>459</v>
      </c>
      <c r="F112" s="33" t="s">
        <v>443</v>
      </c>
      <c r="G112" s="10">
        <f>G103/D41</f>
        <v>8.0181391136665059E-2</v>
      </c>
      <c r="H112" t="s">
        <v>895</v>
      </c>
      <c r="J112" t="s">
        <v>433</v>
      </c>
    </row>
    <row r="113" spans="1:21" ht="15.75" x14ac:dyDescent="0.3">
      <c r="A113" t="s">
        <v>441</v>
      </c>
      <c r="C113" s="293">
        <v>0.7169411</v>
      </c>
      <c r="D113" t="s">
        <v>428</v>
      </c>
      <c r="F113" t="s">
        <v>442</v>
      </c>
      <c r="G113" s="10">
        <f>C113/(G112*G112)</f>
        <v>111.51577424026449</v>
      </c>
      <c r="H113" t="s">
        <v>898</v>
      </c>
      <c r="J113" t="s">
        <v>453</v>
      </c>
    </row>
    <row r="114" spans="1:21" ht="15.75" x14ac:dyDescent="0.3">
      <c r="A114" t="s">
        <v>450</v>
      </c>
      <c r="C114" s="293">
        <v>0.34948249999999997</v>
      </c>
      <c r="D114" t="s">
        <v>427</v>
      </c>
      <c r="F114" t="s">
        <v>444</v>
      </c>
      <c r="G114" s="10">
        <f>2*C114/(G112*G112)</f>
        <v>108.7197025555467</v>
      </c>
      <c r="H114" t="s">
        <v>898</v>
      </c>
      <c r="J114" t="s">
        <v>454</v>
      </c>
    </row>
    <row r="115" spans="1:21" ht="15.75" x14ac:dyDescent="0.3">
      <c r="A115" t="s">
        <v>446</v>
      </c>
      <c r="C115" s="293">
        <v>3.4384980000000001E-7</v>
      </c>
      <c r="D115" t="s">
        <v>439</v>
      </c>
      <c r="F115" s="33" t="s">
        <v>464</v>
      </c>
      <c r="G115" s="10">
        <f>1000000000*C115*D21/(H33*G112)</f>
        <v>1051.078193705323</v>
      </c>
      <c r="H115" t="s">
        <v>995</v>
      </c>
      <c r="J115" t="s">
        <v>449</v>
      </c>
    </row>
    <row r="116" spans="1:21" ht="15.75" x14ac:dyDescent="0.3">
      <c r="A116" t="s">
        <v>447</v>
      </c>
      <c r="C116" s="293">
        <v>1.0284999999999999E-3</v>
      </c>
      <c r="D116" t="s">
        <v>430</v>
      </c>
      <c r="F116" s="33" t="s">
        <v>462</v>
      </c>
      <c r="G116" s="10">
        <f>0.001*G115/SQRT(0.001*G105*G113)</f>
        <v>0.94445005477391608</v>
      </c>
      <c r="H116" t="s">
        <v>423</v>
      </c>
    </row>
    <row r="117" spans="1:21" x14ac:dyDescent="0.2">
      <c r="C117" s="294"/>
    </row>
    <row r="121" spans="1:21" ht="23.25" x14ac:dyDescent="0.35">
      <c r="A121" s="1" t="s">
        <v>824</v>
      </c>
    </row>
    <row r="123" spans="1:21" ht="20.25" x14ac:dyDescent="0.3">
      <c r="E123" s="210" t="s">
        <v>194</v>
      </c>
    </row>
    <row r="126" spans="1:21" x14ac:dyDescent="0.2">
      <c r="E126" s="2" t="s">
        <v>825</v>
      </c>
      <c r="G126" s="2" t="s">
        <v>825</v>
      </c>
      <c r="O126" s="3" t="s">
        <v>826</v>
      </c>
    </row>
    <row r="127" spans="1:21" ht="13.5" thickBot="1" x14ac:dyDescent="0.25">
      <c r="E127" s="2" t="s">
        <v>827</v>
      </c>
      <c r="G127" s="2" t="s">
        <v>828</v>
      </c>
    </row>
    <row r="128" spans="1:21" x14ac:dyDescent="0.2">
      <c r="A128" s="3" t="s">
        <v>829</v>
      </c>
      <c r="E128" t="s">
        <v>830</v>
      </c>
      <c r="G128" t="s">
        <v>831</v>
      </c>
      <c r="O128" s="4" t="s">
        <v>832</v>
      </c>
      <c r="P128" s="5"/>
      <c r="Q128" s="6"/>
      <c r="R128" s="6"/>
      <c r="S128" s="6"/>
      <c r="T128" s="7"/>
      <c r="U128" s="8"/>
    </row>
    <row r="129" spans="1:22" ht="13.5" thickBot="1" x14ac:dyDescent="0.25">
      <c r="A129" t="s">
        <v>833</v>
      </c>
      <c r="E129" s="17">
        <v>12</v>
      </c>
      <c r="F129" t="s">
        <v>834</v>
      </c>
      <c r="G129" s="10">
        <f>E129/2.54</f>
        <v>4.7244094488188972</v>
      </c>
      <c r="H129" t="s">
        <v>835</v>
      </c>
      <c r="O129" s="11" t="s">
        <v>1098</v>
      </c>
      <c r="P129" s="12"/>
      <c r="Q129" s="13"/>
      <c r="R129" s="13"/>
      <c r="S129" s="13"/>
      <c r="T129" s="13"/>
      <c r="U129" s="14"/>
    </row>
    <row r="130" spans="1:22" x14ac:dyDescent="0.2">
      <c r="A130" t="s">
        <v>836</v>
      </c>
      <c r="E130" s="15">
        <f>1000*($R$133+$R$135*E129+$R$137*E129^2+$R$139*E129^3+$R$141*E129^4+$R$143*E129^5)/(1+$R$134*E129+$R$136*E129^2+$R$138*E129^3+$R$140*E129^4+$R$142*E129^5)</f>
        <v>84080.418077382928</v>
      </c>
      <c r="F130" t="s">
        <v>837</v>
      </c>
      <c r="G130" s="16">
        <f>E130</f>
        <v>84080.418077382928</v>
      </c>
      <c r="H130" t="s">
        <v>837</v>
      </c>
      <c r="I130" t="s">
        <v>838</v>
      </c>
    </row>
    <row r="131" spans="1:22" x14ac:dyDescent="0.2">
      <c r="A131" t="s">
        <v>839</v>
      </c>
      <c r="E131" s="17">
        <v>1.1234117885079127</v>
      </c>
      <c r="F131" t="s">
        <v>840</v>
      </c>
      <c r="G131" s="10">
        <f>E131</f>
        <v>1.1234117885079127</v>
      </c>
      <c r="H131" t="s">
        <v>840</v>
      </c>
      <c r="O131" t="s">
        <v>50</v>
      </c>
      <c r="R131" t="s">
        <v>841</v>
      </c>
    </row>
    <row r="132" spans="1:22" x14ac:dyDescent="0.2">
      <c r="A132" t="s">
        <v>842</v>
      </c>
      <c r="E132" s="10">
        <f>0.001*E131*E130</f>
        <v>94.456932850805799</v>
      </c>
      <c r="F132" t="s">
        <v>843</v>
      </c>
      <c r="G132" s="10">
        <f>E132</f>
        <v>94.456932850805799</v>
      </c>
      <c r="H132" t="s">
        <v>843</v>
      </c>
      <c r="Q132" t="s">
        <v>844</v>
      </c>
      <c r="R132" t="s">
        <v>845</v>
      </c>
      <c r="S132" t="s">
        <v>846</v>
      </c>
      <c r="T132" t="s">
        <v>847</v>
      </c>
      <c r="U132" t="s">
        <v>848</v>
      </c>
      <c r="V132" t="s">
        <v>848</v>
      </c>
    </row>
    <row r="133" spans="1:22" x14ac:dyDescent="0.2">
      <c r="E133" s="18"/>
      <c r="G133" s="18"/>
      <c r="O133" t="s">
        <v>849</v>
      </c>
      <c r="P133" t="s">
        <v>841</v>
      </c>
      <c r="Q133" s="2" t="s">
        <v>850</v>
      </c>
      <c r="R133">
        <v>0.10168117593888058</v>
      </c>
      <c r="S133">
        <v>1.3223173201672782E-8</v>
      </c>
      <c r="T133">
        <v>7689619.9110526303</v>
      </c>
      <c r="U133">
        <v>0.10168114835582463</v>
      </c>
      <c r="V133">
        <v>0.10168120352193655</v>
      </c>
    </row>
    <row r="134" spans="1:22" x14ac:dyDescent="0.2">
      <c r="A134" s="3" t="s">
        <v>851</v>
      </c>
      <c r="E134" s="18"/>
      <c r="G134" s="18"/>
      <c r="O134" t="s">
        <v>852</v>
      </c>
      <c r="P134">
        <v>7909</v>
      </c>
      <c r="Q134" s="2" t="s">
        <v>853</v>
      </c>
      <c r="R134">
        <v>-0.10298422903794459</v>
      </c>
      <c r="S134">
        <v>5.3550248326002946E-6</v>
      </c>
      <c r="T134">
        <v>-19231.32613895601</v>
      </c>
      <c r="U134">
        <v>-0.10299539942400515</v>
      </c>
      <c r="V134">
        <v>-0.10297305865188403</v>
      </c>
    </row>
    <row r="135" spans="1:22" x14ac:dyDescent="0.2">
      <c r="A135" t="s">
        <v>854</v>
      </c>
      <c r="E135" s="17">
        <v>0.4</v>
      </c>
      <c r="F135" t="s">
        <v>855</v>
      </c>
      <c r="G135" s="10">
        <f>E135</f>
        <v>0.4</v>
      </c>
      <c r="H135" t="s">
        <v>855</v>
      </c>
      <c r="I135" t="s">
        <v>856</v>
      </c>
      <c r="L135">
        <v>0.32623924554399819</v>
      </c>
      <c r="O135" t="s">
        <v>857</v>
      </c>
      <c r="P135">
        <v>0.99999210248868464</v>
      </c>
      <c r="Q135" s="2" t="s">
        <v>858</v>
      </c>
      <c r="R135">
        <v>11.60983286832051</v>
      </c>
      <c r="S135">
        <v>9.1837419778150747E-8</v>
      </c>
      <c r="T135">
        <v>126417237.07358155</v>
      </c>
      <c r="U135">
        <v>11.609832676751008</v>
      </c>
      <c r="V135">
        <v>11.609833059890009</v>
      </c>
    </row>
    <row r="136" spans="1:22" x14ac:dyDescent="0.2">
      <c r="A136" t="s">
        <v>859</v>
      </c>
      <c r="E136" s="10">
        <f>E132/E135</f>
        <v>236.1423321270145</v>
      </c>
      <c r="F136" t="s">
        <v>843</v>
      </c>
      <c r="G136" s="10">
        <f>E136</f>
        <v>236.1423321270145</v>
      </c>
      <c r="H136" t="s">
        <v>843</v>
      </c>
      <c r="L136">
        <v>230.67402623070259</v>
      </c>
      <c r="O136" t="s">
        <v>860</v>
      </c>
      <c r="P136">
        <v>0.99998753024529152</v>
      </c>
      <c r="Q136" s="2" t="s">
        <v>861</v>
      </c>
      <c r="R136">
        <v>2.2002776709666754E-2</v>
      </c>
      <c r="S136">
        <v>2.7363452194542684E-5</v>
      </c>
      <c r="T136">
        <v>804.09359730037818</v>
      </c>
      <c r="U136">
        <v>2.1945697548595093E-2</v>
      </c>
      <c r="V136">
        <v>2.2059855870738415E-2</v>
      </c>
    </row>
    <row r="137" spans="1:22" x14ac:dyDescent="0.2">
      <c r="O137" t="s">
        <v>862</v>
      </c>
      <c r="P137">
        <v>0.17111001251528976</v>
      </c>
      <c r="Q137" s="2" t="s">
        <v>863</v>
      </c>
      <c r="R137">
        <v>-1.1136954486547923</v>
      </c>
      <c r="S137">
        <v>6.0018116082720363E-7</v>
      </c>
      <c r="T137">
        <v>-1855598.8113986021</v>
      </c>
      <c r="U137">
        <v>-1.1136967006107557</v>
      </c>
      <c r="V137">
        <v>-1.113694196698829</v>
      </c>
    </row>
    <row r="138" spans="1:22" x14ac:dyDescent="0.2">
      <c r="A138" s="3" t="s">
        <v>864</v>
      </c>
      <c r="O138" t="s">
        <v>865</v>
      </c>
      <c r="P138">
        <v>253242.33484612688</v>
      </c>
      <c r="Q138" s="2" t="s">
        <v>866</v>
      </c>
      <c r="R138">
        <v>-1.3154143255757434E-3</v>
      </c>
      <c r="S138">
        <v>2.7480228463650732E-6</v>
      </c>
      <c r="T138">
        <v>-478.67663375349957</v>
      </c>
      <c r="U138">
        <v>-1.3211466007857977E-3</v>
      </c>
      <c r="V138">
        <v>-1.3096820503656894E-3</v>
      </c>
    </row>
    <row r="139" spans="1:22" x14ac:dyDescent="0.2">
      <c r="A139" t="s">
        <v>867</v>
      </c>
      <c r="E139" s="17">
        <v>6.8038499999999997</v>
      </c>
      <c r="F139" t="s">
        <v>868</v>
      </c>
      <c r="G139" s="10">
        <f>E139/0.45359</f>
        <v>15</v>
      </c>
      <c r="H139" t="s">
        <v>869</v>
      </c>
      <c r="I139" t="s">
        <v>870</v>
      </c>
      <c r="O139" t="s">
        <v>871</v>
      </c>
      <c r="P139" t="s">
        <v>872</v>
      </c>
      <c r="Q139" s="2" t="s">
        <v>873</v>
      </c>
      <c r="R139">
        <v>0.13947545251861668</v>
      </c>
      <c r="S139">
        <v>1.9985227093290123E-6</v>
      </c>
      <c r="T139">
        <v>69789.27578233245</v>
      </c>
      <c r="U139">
        <v>0.13947128367329628</v>
      </c>
      <c r="V139">
        <v>0.13947962136393707</v>
      </c>
    </row>
    <row r="140" spans="1:22" x14ac:dyDescent="0.2">
      <c r="A140" t="s">
        <v>51</v>
      </c>
      <c r="E140" s="19">
        <f>E139*(E136*0.001)</f>
        <v>1.6066770064423874</v>
      </c>
      <c r="F140" t="s">
        <v>874</v>
      </c>
      <c r="G140" s="19">
        <f>G139*(G136*0.001)</f>
        <v>3.5421349819052175</v>
      </c>
      <c r="H140" t="s">
        <v>875</v>
      </c>
      <c r="L140">
        <v>1.5694714733697659</v>
      </c>
      <c r="O140" t="s">
        <v>876</v>
      </c>
      <c r="P140" t="s">
        <v>1096</v>
      </c>
      <c r="Q140" s="2" t="s">
        <v>877</v>
      </c>
      <c r="R140">
        <v>2.2555679105447939E-5</v>
      </c>
      <c r="S140">
        <v>6.5879046074793471E-7</v>
      </c>
      <c r="T140">
        <v>34.238017168372679</v>
      </c>
      <c r="U140">
        <v>2.1181466284851963E-5</v>
      </c>
      <c r="V140">
        <v>2.3929891926043911E-5</v>
      </c>
    </row>
    <row r="141" spans="1:22" x14ac:dyDescent="0.2">
      <c r="Q141" s="2" t="s">
        <v>878</v>
      </c>
      <c r="R141">
        <v>-7.5887149573464346E-3</v>
      </c>
      <c r="S141">
        <v>1.9085810562317547E-5</v>
      </c>
      <c r="T141">
        <v>-397.61030492094301</v>
      </c>
      <c r="U141">
        <v>-7.6285272605428498E-3</v>
      </c>
      <c r="V141">
        <v>-7.5489026541500194E-3</v>
      </c>
    </row>
    <row r="142" spans="1:22" x14ac:dyDescent="0.2">
      <c r="A142" s="3" t="s">
        <v>1150</v>
      </c>
      <c r="Q142" s="2" t="s">
        <v>879</v>
      </c>
      <c r="R142">
        <v>9.0100227568697605E-9</v>
      </c>
      <c r="S142">
        <v>2.0535155590418438E-9</v>
      </c>
      <c r="T142">
        <v>4.3876087118978413</v>
      </c>
      <c r="U142">
        <v>4.726464362103705E-9</v>
      </c>
      <c r="V142">
        <v>1.3293581151635817E-8</v>
      </c>
    </row>
    <row r="143" spans="1:22" x14ac:dyDescent="0.2">
      <c r="A143" t="s">
        <v>1213</v>
      </c>
      <c r="E143" s="17">
        <v>10</v>
      </c>
      <c r="G143" s="10">
        <f>E143</f>
        <v>10</v>
      </c>
      <c r="I143" t="s">
        <v>881</v>
      </c>
      <c r="Q143" s="2" t="s">
        <v>882</v>
      </c>
      <c r="R143">
        <v>1.2967836582075207E-4</v>
      </c>
      <c r="S143">
        <v>3.20570851908624E-6</v>
      </c>
      <c r="T143">
        <v>40.452325920672223</v>
      </c>
      <c r="U143">
        <v>1.2299137502701682E-4</v>
      </c>
      <c r="V143">
        <v>1.3636535661448734E-4</v>
      </c>
    </row>
    <row r="144" spans="1:22" ht="14.25" x14ac:dyDescent="0.2">
      <c r="A144" t="s">
        <v>883</v>
      </c>
      <c r="E144" s="17">
        <v>7.4009704651234269</v>
      </c>
      <c r="F144" t="s">
        <v>1099</v>
      </c>
      <c r="G144" s="10">
        <f>(E144/0.45359)*(2.54^2)/10^2</f>
        <v>1.0526709374719525</v>
      </c>
      <c r="H144" t="s">
        <v>1100</v>
      </c>
      <c r="O144" s="20"/>
      <c r="P144" s="21"/>
      <c r="Q144" s="21"/>
      <c r="R144" s="22"/>
      <c r="S144" s="22"/>
      <c r="T144" s="22"/>
      <c r="U144" s="22"/>
    </row>
    <row r="145" spans="1:21" ht="14.25" x14ac:dyDescent="0.2">
      <c r="A145" t="s">
        <v>884</v>
      </c>
      <c r="E145" s="19">
        <f>E140/E144</f>
        <v>0.21709004434131229</v>
      </c>
      <c r="F145" t="s">
        <v>1101</v>
      </c>
      <c r="G145" s="23">
        <f>E145*1000/(2.54^3)</f>
        <v>13.247647311398328</v>
      </c>
      <c r="H145" t="s">
        <v>1102</v>
      </c>
      <c r="O145" s="21"/>
      <c r="P145" s="21"/>
      <c r="Q145" s="21"/>
      <c r="R145" s="21"/>
      <c r="S145" s="22"/>
      <c r="T145" s="22"/>
      <c r="U145" s="22"/>
    </row>
    <row r="146" spans="1:21" x14ac:dyDescent="0.2">
      <c r="A146" t="s">
        <v>885</v>
      </c>
      <c r="E146" s="23">
        <f>10*(4*E145/(E143*PI()))^(1/3)</f>
        <v>3.0235466614679747</v>
      </c>
      <c r="F146" t="s">
        <v>834</v>
      </c>
      <c r="G146" s="23">
        <f>E146/2.54</f>
        <v>1.1903727013653445</v>
      </c>
      <c r="H146" t="s">
        <v>835</v>
      </c>
      <c r="O146" s="21"/>
      <c r="P146" s="21"/>
      <c r="Q146" s="21"/>
      <c r="R146" s="21"/>
      <c r="S146" s="24"/>
      <c r="T146" s="24"/>
      <c r="U146" s="24"/>
    </row>
    <row r="147" spans="1:21" x14ac:dyDescent="0.2">
      <c r="A147" t="s">
        <v>886</v>
      </c>
      <c r="E147" s="23">
        <f>E143*E146</f>
        <v>30.235466614679748</v>
      </c>
      <c r="F147" t="s">
        <v>834</v>
      </c>
      <c r="G147" s="23">
        <f>E147/2.54</f>
        <v>11.903727013653445</v>
      </c>
      <c r="H147" t="s">
        <v>835</v>
      </c>
      <c r="O147" s="25"/>
      <c r="P147" s="21"/>
      <c r="Q147" s="25"/>
      <c r="R147" s="26"/>
      <c r="S147" s="24"/>
      <c r="T147" s="24"/>
      <c r="U147" s="24"/>
    </row>
    <row r="148" spans="1:21" ht="14.25" x14ac:dyDescent="0.2">
      <c r="A148" t="s">
        <v>887</v>
      </c>
      <c r="E148" s="23">
        <f>E146*E146*PI()/4</f>
        <v>7.1799799588974142</v>
      </c>
      <c r="F148" t="s">
        <v>1103</v>
      </c>
      <c r="G148" s="23">
        <f>G146*G146*PI()/4</f>
        <v>1.1128991194273381</v>
      </c>
      <c r="H148" t="s">
        <v>1104</v>
      </c>
    </row>
    <row r="149" spans="1:21" ht="14.25" x14ac:dyDescent="0.2">
      <c r="A149" s="3" t="s">
        <v>1151</v>
      </c>
      <c r="E149" s="23">
        <f>0.9*E148</f>
        <v>6.4619819630076734</v>
      </c>
      <c r="F149" t="s">
        <v>1103</v>
      </c>
      <c r="G149" s="23">
        <f>0.9*G148</f>
        <v>1.0016092074846044</v>
      </c>
      <c r="H149" t="s">
        <v>1104</v>
      </c>
      <c r="I149" t="s">
        <v>888</v>
      </c>
    </row>
    <row r="150" spans="1:21" x14ac:dyDescent="0.2">
      <c r="A150" s="3" t="s">
        <v>1216</v>
      </c>
      <c r="E150" s="27"/>
      <c r="F150" s="18"/>
      <c r="G150" s="27"/>
    </row>
    <row r="151" spans="1:21" x14ac:dyDescent="0.2">
      <c r="A151" s="157" t="s">
        <v>954</v>
      </c>
      <c r="B151" s="148"/>
      <c r="C151" s="148"/>
      <c r="D151" s="148"/>
      <c r="E151" s="149">
        <v>3.12</v>
      </c>
      <c r="F151" s="150" t="s">
        <v>834</v>
      </c>
      <c r="G151" s="158">
        <f>E151/2.54</f>
        <v>1.2283464566929134</v>
      </c>
      <c r="H151" s="131" t="s">
        <v>835</v>
      </c>
      <c r="I151" s="27" t="s">
        <v>141</v>
      </c>
    </row>
    <row r="152" spans="1:21" x14ac:dyDescent="0.2">
      <c r="A152" s="146" t="s">
        <v>1125</v>
      </c>
      <c r="B152" s="25"/>
      <c r="C152" s="25"/>
      <c r="D152" s="25"/>
      <c r="E152" s="152">
        <v>3.49</v>
      </c>
      <c r="F152" s="79" t="s">
        <v>834</v>
      </c>
      <c r="G152" s="159">
        <f>E152/2.54</f>
        <v>1.3740157480314961</v>
      </c>
      <c r="H152" s="133" t="s">
        <v>835</v>
      </c>
      <c r="I152" t="s">
        <v>1215</v>
      </c>
    </row>
    <row r="153" spans="1:21" x14ac:dyDescent="0.2">
      <c r="A153" s="146" t="s">
        <v>1214</v>
      </c>
      <c r="B153" s="25"/>
      <c r="C153" s="25"/>
      <c r="D153" s="25"/>
      <c r="E153" s="152">
        <v>31</v>
      </c>
      <c r="F153" s="79" t="s">
        <v>834</v>
      </c>
      <c r="G153" s="159">
        <f>E153/2.54</f>
        <v>12.204724409448819</v>
      </c>
      <c r="H153" s="133" t="s">
        <v>835</v>
      </c>
    </row>
    <row r="154" spans="1:21" x14ac:dyDescent="0.2">
      <c r="A154" s="141" t="s">
        <v>1232</v>
      </c>
      <c r="B154" s="142"/>
      <c r="C154" s="142"/>
      <c r="D154" s="142"/>
      <c r="E154" s="154">
        <f>(E152-E151)/2</f>
        <v>0.18500000000000005</v>
      </c>
      <c r="F154" s="155" t="s">
        <v>834</v>
      </c>
      <c r="G154" s="156">
        <f>E154/2.54</f>
        <v>7.2834645669291362E-2</v>
      </c>
      <c r="H154" s="135" t="s">
        <v>835</v>
      </c>
    </row>
    <row r="155" spans="1:21" x14ac:dyDescent="0.2">
      <c r="A155" s="25"/>
      <c r="B155" s="25"/>
      <c r="C155" s="25"/>
      <c r="D155" s="25"/>
      <c r="E155" s="79"/>
      <c r="F155" s="79"/>
      <c r="G155" s="209"/>
      <c r="H155" s="25"/>
    </row>
    <row r="156" spans="1:21" x14ac:dyDescent="0.2">
      <c r="A156" s="3" t="s">
        <v>49</v>
      </c>
      <c r="E156" s="27"/>
      <c r="F156" s="18"/>
      <c r="G156" s="27"/>
    </row>
    <row r="157" spans="1:21" x14ac:dyDescent="0.2">
      <c r="A157" t="s">
        <v>889</v>
      </c>
      <c r="E157" s="23">
        <f>E147-E146</f>
        <v>27.211919953211773</v>
      </c>
      <c r="F157" t="s">
        <v>834</v>
      </c>
      <c r="G157" s="23">
        <f>G147-G146</f>
        <v>10.7133543122881</v>
      </c>
      <c r="H157" t="s">
        <v>835</v>
      </c>
    </row>
    <row r="158" spans="1:21" x14ac:dyDescent="0.2">
      <c r="E158" s="27"/>
      <c r="F158" s="18"/>
      <c r="G158" s="27"/>
    </row>
    <row r="159" spans="1:21" x14ac:dyDescent="0.2">
      <c r="A159" s="122" t="s">
        <v>890</v>
      </c>
      <c r="B159" s="87"/>
      <c r="C159" s="87"/>
      <c r="D159" s="87"/>
      <c r="E159" s="124"/>
      <c r="F159" s="87"/>
      <c r="G159" s="124"/>
      <c r="H159" s="87"/>
      <c r="I159" s="87"/>
      <c r="J159" s="87"/>
      <c r="K159" s="87"/>
      <c r="L159" s="87"/>
      <c r="M159" s="87"/>
      <c r="P159" t="s">
        <v>1190</v>
      </c>
    </row>
    <row r="160" spans="1:21" x14ac:dyDescent="0.2">
      <c r="A160" t="s">
        <v>891</v>
      </c>
      <c r="E160" s="28">
        <v>28.832614591717078</v>
      </c>
      <c r="F160" s="18" t="s">
        <v>837</v>
      </c>
      <c r="G160" s="29">
        <f>E160</f>
        <v>28.832614591717078</v>
      </c>
      <c r="H160" t="s">
        <v>837</v>
      </c>
      <c r="P160" t="s">
        <v>1191</v>
      </c>
    </row>
    <row r="161" spans="1:19" x14ac:dyDescent="0.2">
      <c r="A161" t="s">
        <v>892</v>
      </c>
      <c r="E161" s="28">
        <v>100</v>
      </c>
      <c r="F161" s="18" t="s">
        <v>893</v>
      </c>
      <c r="G161" s="29">
        <f>E161</f>
        <v>100</v>
      </c>
      <c r="H161" t="s">
        <v>893</v>
      </c>
      <c r="I161" t="s">
        <v>1175</v>
      </c>
      <c r="P161" t="s">
        <v>1010</v>
      </c>
      <c r="R161" t="s">
        <v>852</v>
      </c>
      <c r="S161">
        <v>7909</v>
      </c>
    </row>
    <row r="162" spans="1:19" x14ac:dyDescent="0.2">
      <c r="A162" s="30" t="s">
        <v>894</v>
      </c>
      <c r="E162" s="29">
        <f>E136/E160</f>
        <v>8.1901116312515256</v>
      </c>
      <c r="F162" s="18" t="s">
        <v>895</v>
      </c>
      <c r="G162" s="29">
        <f>E162</f>
        <v>8.1901116312515256</v>
      </c>
      <c r="H162" t="s">
        <v>895</v>
      </c>
      <c r="I162" t="s">
        <v>896</v>
      </c>
      <c r="P162" t="s">
        <v>1182</v>
      </c>
    </row>
    <row r="163" spans="1:19" x14ac:dyDescent="0.2">
      <c r="A163" t="s">
        <v>897</v>
      </c>
      <c r="E163" s="29">
        <f>E160/(PI()*E161*E162)</f>
        <v>1.1205837822833345E-2</v>
      </c>
      <c r="F163" s="18" t="s">
        <v>898</v>
      </c>
      <c r="G163" s="29">
        <f>G160/(PI()*G161*G162)</f>
        <v>1.1205837822833345E-2</v>
      </c>
      <c r="H163" t="s">
        <v>898</v>
      </c>
      <c r="P163" s="130" t="s">
        <v>844</v>
      </c>
      <c r="Q163" s="131" t="s">
        <v>845</v>
      </c>
    </row>
    <row r="164" spans="1:19" x14ac:dyDescent="0.2">
      <c r="E164" s="31"/>
      <c r="F164" s="18"/>
      <c r="G164" s="31"/>
      <c r="P164" s="132" t="s">
        <v>850</v>
      </c>
      <c r="Q164" s="133">
        <v>8.103163113762352E-3</v>
      </c>
    </row>
    <row r="165" spans="1:19" x14ac:dyDescent="0.2">
      <c r="E165" s="31"/>
      <c r="F165" s="18"/>
      <c r="G165" s="31"/>
      <c r="P165" s="132" t="s">
        <v>853</v>
      </c>
      <c r="Q165" s="133">
        <v>-0.34462926854037529</v>
      </c>
    </row>
    <row r="166" spans="1:19" x14ac:dyDescent="0.2">
      <c r="A166" t="s">
        <v>1174</v>
      </c>
      <c r="E166" s="32">
        <f xml:space="preserve"> ($Q$164+$Q$166*E143+$Q$168*E143*E143+$Q$170*E143*E143*E143+$Q$172*E143^4+$Q$174*E143^5)/(1+$Q$165*E143+$Q$167*E143*E143+$Q$169*E143*E143*E143+$Q$171*E143^4+$Q$173*E143^5)</f>
        <v>209.71480529698408</v>
      </c>
      <c r="F166" s="33"/>
      <c r="G166" s="32">
        <f xml:space="preserve"> ($Q$164+$Q$166*G143+$Q$168*G143*G143+$Q$170*G143*G143*G143+$Q$172*G143^4+$Q$174*G143^5)/(1+$Q$165*G143+$Q$167*G143*G143+$Q$169*G143*G143*G143+$Q$171*G143^4+$Q$173*G143^5)</f>
        <v>209.71480529698408</v>
      </c>
      <c r="P166" s="132" t="s">
        <v>858</v>
      </c>
      <c r="Q166" s="133">
        <v>6.6646780511440982</v>
      </c>
    </row>
    <row r="167" spans="1:19" x14ac:dyDescent="0.2">
      <c r="A167" t="s">
        <v>900</v>
      </c>
      <c r="E167" s="16">
        <f>10000*SQRT(E163*E147/(0.9*(E148/2.54)*E166))</f>
        <v>251.99965480481228</v>
      </c>
      <c r="F167" s="34"/>
      <c r="G167" s="16">
        <f>10000*SQRT((G163*G147)/(0.9*G148*G166))</f>
        <v>251.99965480481225</v>
      </c>
      <c r="P167" s="132" t="s">
        <v>861</v>
      </c>
      <c r="Q167" s="133">
        <v>5.1350947397014741E-2</v>
      </c>
    </row>
    <row r="168" spans="1:19" ht="14.25" x14ac:dyDescent="0.2">
      <c r="A168" t="s">
        <v>901</v>
      </c>
      <c r="E168" s="28">
        <v>3.1435464122475918</v>
      </c>
      <c r="F168" s="18" t="s">
        <v>1105</v>
      </c>
      <c r="G168" s="29">
        <f>E168*(25.4)^2</f>
        <v>2028.0904033256563</v>
      </c>
      <c r="H168" t="s">
        <v>1106</v>
      </c>
      <c r="P168" s="132" t="s">
        <v>863</v>
      </c>
      <c r="Q168" s="133">
        <v>-2.0595087169572923</v>
      </c>
    </row>
    <row r="169" spans="1:19" ht="14.25" x14ac:dyDescent="0.2">
      <c r="A169" t="s">
        <v>902</v>
      </c>
      <c r="E169" s="29">
        <f>E162/E168</f>
        <v>2.6053732177587636</v>
      </c>
      <c r="F169" t="s">
        <v>1107</v>
      </c>
      <c r="G169" s="29">
        <f>G162/G168</f>
        <v>4.0383365641992125E-3</v>
      </c>
      <c r="H169" t="s">
        <v>1104</v>
      </c>
      <c r="P169" s="132" t="s">
        <v>866</v>
      </c>
      <c r="Q169" s="133">
        <v>-4.0299264697933367E-3</v>
      </c>
      <c r="R169" t="s">
        <v>1195</v>
      </c>
    </row>
    <row r="170" spans="1:19" x14ac:dyDescent="0.2">
      <c r="A170" t="s">
        <v>903</v>
      </c>
      <c r="E170" s="29">
        <f>SQRT(4*E169/PI())</f>
        <v>1.8213358310987993</v>
      </c>
      <c r="F170" s="18" t="s">
        <v>904</v>
      </c>
      <c r="G170" s="29">
        <f>SQRT(4*G169/PI())</f>
        <v>7.1706135082629907E-2</v>
      </c>
      <c r="H170" t="s">
        <v>835</v>
      </c>
      <c r="N170" s="18"/>
      <c r="P170" s="132" t="s">
        <v>873</v>
      </c>
      <c r="Q170" s="133">
        <v>0.34222426119485005</v>
      </c>
    </row>
    <row r="171" spans="1:19" x14ac:dyDescent="0.2">
      <c r="A171" t="s">
        <v>905</v>
      </c>
      <c r="E171" s="28">
        <v>1.8</v>
      </c>
      <c r="F171" s="18" t="s">
        <v>904</v>
      </c>
      <c r="G171" s="29">
        <f>E171/25.4</f>
        <v>7.0866141732283464E-2</v>
      </c>
      <c r="H171" t="s">
        <v>1186</v>
      </c>
      <c r="I171" s="121">
        <f>18.2054244290934-8.62881347370181*LN(E171)</f>
        <v>13.133522935323747</v>
      </c>
      <c r="J171" t="s">
        <v>1181</v>
      </c>
      <c r="K171" s="126">
        <f>($Q$182+$Q$184*SQRT(E171)+$Q$186*E171+$Q$201*E171*SQRT(E171)+$Q$203*E171*E171+$Q$205*E171*E171*SQRT(E171))/(1+$Q$183*SQRT(E171)+$Q$185*E171+$Q$187*E171*SQRT(E171)+$Q$202*E171*E171+$Q$204*E171*E171*SQRT(E171))</f>
        <v>15.042602986495437</v>
      </c>
      <c r="L171" t="s">
        <v>1194</v>
      </c>
      <c r="N171" s="18"/>
      <c r="P171" s="132" t="s">
        <v>877</v>
      </c>
      <c r="Q171" s="133">
        <v>1.6091340444311558E-4</v>
      </c>
    </row>
    <row r="172" spans="1:19" x14ac:dyDescent="0.2">
      <c r="A172" t="s">
        <v>906</v>
      </c>
      <c r="E172" s="28">
        <v>1.9</v>
      </c>
      <c r="F172" s="18" t="s">
        <v>904</v>
      </c>
      <c r="G172" s="29">
        <f>E172/25.4</f>
        <v>7.4803149606299218E-2</v>
      </c>
      <c r="H172" t="s">
        <v>835</v>
      </c>
      <c r="I172" t="s">
        <v>907</v>
      </c>
      <c r="P172" s="132" t="s">
        <v>878</v>
      </c>
      <c r="Q172" s="133">
        <v>-3.2967531556915383E-2</v>
      </c>
    </row>
    <row r="173" spans="1:19" x14ac:dyDescent="0.2">
      <c r="A173" t="s">
        <v>908</v>
      </c>
      <c r="E173" s="29">
        <f>10/E172</f>
        <v>5.2631578947368425</v>
      </c>
      <c r="F173" s="18" t="s">
        <v>909</v>
      </c>
      <c r="G173" s="29">
        <f>1/G172</f>
        <v>13.368421052631579</v>
      </c>
      <c r="H173" t="s">
        <v>910</v>
      </c>
      <c r="P173" s="132" t="s">
        <v>879</v>
      </c>
      <c r="Q173" s="133">
        <v>-1.7204994913897629E-6</v>
      </c>
    </row>
    <row r="174" spans="1:19" x14ac:dyDescent="0.2">
      <c r="A174" t="s">
        <v>911</v>
      </c>
      <c r="E174" s="29">
        <f>10/(E172+0.02)</f>
        <v>5.2083333333333339</v>
      </c>
      <c r="F174" s="18" t="s">
        <v>909</v>
      </c>
      <c r="G174" s="28">
        <f>E174*2.54</f>
        <v>13.229166666666668</v>
      </c>
      <c r="H174" t="s">
        <v>910</v>
      </c>
      <c r="I174" t="s">
        <v>907</v>
      </c>
      <c r="P174" s="134" t="s">
        <v>882</v>
      </c>
      <c r="Q174" s="135">
        <v>1.4687120796037577E-3</v>
      </c>
    </row>
    <row r="175" spans="1:19" x14ac:dyDescent="0.2">
      <c r="A175" t="s">
        <v>912</v>
      </c>
      <c r="C175" s="16">
        <f>E167</f>
        <v>251.99965480481228</v>
      </c>
      <c r="D175" t="s">
        <v>913</v>
      </c>
      <c r="E175" s="29">
        <f>E167/E174</f>
        <v>48.383933722523949</v>
      </c>
      <c r="F175" s="18" t="s">
        <v>834</v>
      </c>
      <c r="G175" s="29">
        <f>G167/G174</f>
        <v>19.048792804143286</v>
      </c>
      <c r="H175" t="s">
        <v>835</v>
      </c>
    </row>
    <row r="176" spans="1:19" x14ac:dyDescent="0.2">
      <c r="P176" t="s">
        <v>1184</v>
      </c>
    </row>
    <row r="177" spans="1:18" x14ac:dyDescent="0.2">
      <c r="A177" t="s">
        <v>914</v>
      </c>
      <c r="E177" s="29">
        <f>E175/E157</f>
        <v>1.7780418950855132</v>
      </c>
      <c r="F177" s="18"/>
      <c r="G177" s="29">
        <f>G175/G157</f>
        <v>1.778041895085513</v>
      </c>
      <c r="P177" t="s">
        <v>1185</v>
      </c>
    </row>
    <row r="178" spans="1:18" x14ac:dyDescent="0.2">
      <c r="A178" t="s">
        <v>915</v>
      </c>
      <c r="E178" s="28">
        <v>2</v>
      </c>
      <c r="F178" s="18"/>
      <c r="G178" s="29">
        <f>E178</f>
        <v>2</v>
      </c>
      <c r="I178" t="s">
        <v>916</v>
      </c>
      <c r="K178" s="79"/>
      <c r="L178" s="127"/>
      <c r="M178" s="79"/>
      <c r="N178" s="128"/>
      <c r="P178" s="125" t="s">
        <v>1192</v>
      </c>
    </row>
    <row r="179" spans="1:18" x14ac:dyDescent="0.2">
      <c r="A179" t="s">
        <v>917</v>
      </c>
      <c r="E179" s="28">
        <v>24.2</v>
      </c>
      <c r="F179" s="18" t="s">
        <v>834</v>
      </c>
      <c r="G179" s="29">
        <f>E179/2.54</f>
        <v>9.5275590551181093</v>
      </c>
      <c r="H179" t="s">
        <v>835</v>
      </c>
      <c r="K179" s="127"/>
      <c r="L179" s="127"/>
      <c r="M179" s="129"/>
      <c r="N179" s="128"/>
      <c r="P179" t="s">
        <v>1193</v>
      </c>
    </row>
    <row r="180" spans="1:18" x14ac:dyDescent="0.2">
      <c r="A180" t="s">
        <v>918</v>
      </c>
      <c r="E180" s="39">
        <f>E178*E179*E174</f>
        <v>252.08333333333334</v>
      </c>
      <c r="F180" s="220"/>
      <c r="G180" s="39">
        <f>G178*G179*G174</f>
        <v>252.08333333333334</v>
      </c>
      <c r="K180" s="127"/>
      <c r="L180" s="127"/>
      <c r="M180" s="129"/>
      <c r="N180" s="128"/>
      <c r="P180" t="s">
        <v>1183</v>
      </c>
    </row>
    <row r="181" spans="1:18" x14ac:dyDescent="0.2">
      <c r="K181" s="127"/>
      <c r="L181" s="127"/>
      <c r="M181" s="129"/>
      <c r="N181" s="128"/>
      <c r="P181" s="130" t="s">
        <v>844</v>
      </c>
      <c r="Q181" s="131" t="s">
        <v>845</v>
      </c>
    </row>
    <row r="182" spans="1:18" x14ac:dyDescent="0.2">
      <c r="A182" s="147" t="s">
        <v>73</v>
      </c>
      <c r="E182" s="28">
        <v>0.45</v>
      </c>
      <c r="F182" s="18" t="s">
        <v>904</v>
      </c>
      <c r="G182" s="29">
        <f>E182/25.4</f>
        <v>1.7716535433070866E-2</v>
      </c>
      <c r="H182" t="s">
        <v>835</v>
      </c>
      <c r="I182" s="30" t="s">
        <v>74</v>
      </c>
      <c r="K182" s="127"/>
      <c r="L182" s="127"/>
      <c r="M182" s="129"/>
      <c r="N182" s="128"/>
      <c r="P182" s="132" t="s">
        <v>850</v>
      </c>
      <c r="Q182" s="133">
        <v>48.499456691926625</v>
      </c>
    </row>
    <row r="183" spans="1:18" x14ac:dyDescent="0.2">
      <c r="A183" t="s">
        <v>1233</v>
      </c>
      <c r="E183" s="28">
        <v>2.2999999999999998</v>
      </c>
      <c r="F183" s="18" t="s">
        <v>904</v>
      </c>
      <c r="G183" s="29">
        <f>E183/25.4</f>
        <v>9.0551181102362197E-2</v>
      </c>
      <c r="H183" t="s">
        <v>835</v>
      </c>
      <c r="I183" t="s">
        <v>75</v>
      </c>
      <c r="K183" s="127"/>
      <c r="L183" s="127"/>
      <c r="M183" s="129"/>
      <c r="N183" s="128"/>
      <c r="P183" s="132" t="s">
        <v>853</v>
      </c>
      <c r="Q183" s="133">
        <v>-6.7817047817110376</v>
      </c>
    </row>
    <row r="184" spans="1:18" x14ac:dyDescent="0.2">
      <c r="A184" t="s">
        <v>72</v>
      </c>
      <c r="E184" s="29">
        <f>E178*E172</f>
        <v>3.8</v>
      </c>
      <c r="F184" s="18" t="s">
        <v>904</v>
      </c>
      <c r="G184" s="29">
        <f>G178*G172</f>
        <v>0.14960629921259844</v>
      </c>
      <c r="H184" t="s">
        <v>835</v>
      </c>
      <c r="K184" s="127"/>
      <c r="L184" s="127"/>
      <c r="M184" s="129"/>
      <c r="N184" s="128"/>
      <c r="P184" s="132" t="s">
        <v>858</v>
      </c>
      <c r="Q184" s="133">
        <v>-302.28512719754991</v>
      </c>
    </row>
    <row r="185" spans="1:18" x14ac:dyDescent="0.2">
      <c r="A185" t="s">
        <v>919</v>
      </c>
      <c r="E185" s="29">
        <f>10*E152+2*(E182+E184)</f>
        <v>43.400000000000006</v>
      </c>
      <c r="F185" s="18" t="s">
        <v>904</v>
      </c>
      <c r="G185" s="29">
        <f>G146+2*(G182+G184)</f>
        <v>1.5250183706566831</v>
      </c>
      <c r="H185" t="s">
        <v>835</v>
      </c>
      <c r="K185" s="127"/>
      <c r="L185" s="127"/>
      <c r="M185" s="129"/>
      <c r="N185" s="128"/>
      <c r="P185" s="132" t="s">
        <v>861</v>
      </c>
      <c r="Q185" s="133">
        <v>23.262370231416252</v>
      </c>
    </row>
    <row r="186" spans="1:18" x14ac:dyDescent="0.2">
      <c r="A186" t="s">
        <v>1229</v>
      </c>
      <c r="E186" s="29">
        <f>E185+2*E183</f>
        <v>48.000000000000007</v>
      </c>
      <c r="F186" s="18" t="s">
        <v>904</v>
      </c>
      <c r="G186" s="29">
        <f>E186/25.4</f>
        <v>1.8897637795275595</v>
      </c>
      <c r="H186" t="s">
        <v>835</v>
      </c>
      <c r="K186" s="127"/>
      <c r="L186" s="127"/>
      <c r="M186" s="129"/>
      <c r="N186" s="128"/>
      <c r="P186" s="132" t="s">
        <v>863</v>
      </c>
      <c r="Q186" s="133">
        <v>901.98895838110639</v>
      </c>
    </row>
    <row r="187" spans="1:18" x14ac:dyDescent="0.2">
      <c r="A187" t="s">
        <v>920</v>
      </c>
      <c r="E187" s="16">
        <f>10*E147</f>
        <v>302.35466614679746</v>
      </c>
      <c r="F187" s="18" t="s">
        <v>904</v>
      </c>
      <c r="G187" s="16">
        <f>G147</f>
        <v>11.903727013653445</v>
      </c>
      <c r="H187" t="s">
        <v>835</v>
      </c>
      <c r="I187" t="s">
        <v>921</v>
      </c>
      <c r="K187" s="127"/>
      <c r="L187" s="127"/>
      <c r="M187" s="129"/>
      <c r="N187" s="128"/>
      <c r="P187" s="132" t="s">
        <v>866</v>
      </c>
      <c r="Q187" s="133">
        <v>-43.445806766984532</v>
      </c>
      <c r="R187" t="s">
        <v>1195</v>
      </c>
    </row>
    <row r="188" spans="1:18" x14ac:dyDescent="0.2">
      <c r="E188" s="34"/>
      <c r="F188" s="18"/>
      <c r="G188" s="34"/>
      <c r="K188" s="127"/>
      <c r="L188" s="127"/>
      <c r="M188" s="129"/>
      <c r="N188" s="128"/>
      <c r="P188" s="132"/>
      <c r="Q188" s="133"/>
    </row>
    <row r="189" spans="1:18" x14ac:dyDescent="0.2">
      <c r="A189" t="s">
        <v>1126</v>
      </c>
      <c r="E189" s="39">
        <f>PI()*(10*E152+E185)/2</f>
        <v>122.99335238804042</v>
      </c>
      <c r="F189" t="s">
        <v>904</v>
      </c>
      <c r="G189" s="10">
        <f>E189/25.4</f>
        <v>4.8422579680330875</v>
      </c>
      <c r="H189" t="s">
        <v>835</v>
      </c>
      <c r="K189" s="127"/>
      <c r="L189" s="127"/>
      <c r="M189" s="129"/>
      <c r="N189" s="128"/>
      <c r="P189" s="132"/>
      <c r="Q189" s="133"/>
    </row>
    <row r="190" spans="1:18" x14ac:dyDescent="0.2">
      <c r="A190" t="s">
        <v>1127</v>
      </c>
      <c r="E190" s="39">
        <f>E189*E180/1000</f>
        <v>31.004574247818525</v>
      </c>
      <c r="F190" t="s">
        <v>980</v>
      </c>
      <c r="G190" s="10">
        <f>E190/0.3048</f>
        <v>101.72104412013951</v>
      </c>
      <c r="H190" t="s">
        <v>1064</v>
      </c>
      <c r="K190" s="127"/>
      <c r="L190" s="127"/>
      <c r="M190" s="129"/>
      <c r="N190" s="128"/>
      <c r="P190" s="132"/>
      <c r="Q190" s="133"/>
    </row>
    <row r="191" spans="1:18" x14ac:dyDescent="0.2">
      <c r="A191" t="s">
        <v>112</v>
      </c>
      <c r="E191" s="225">
        <f>E190*0.01786/(E171^2*PI()/4)</f>
        <v>0.21760673611111114</v>
      </c>
      <c r="F191" t="s">
        <v>965</v>
      </c>
      <c r="G191" s="225">
        <f>E191</f>
        <v>0.21760673611111114</v>
      </c>
      <c r="H191" t="s">
        <v>965</v>
      </c>
      <c r="I191" t="s">
        <v>113</v>
      </c>
      <c r="K191" s="127"/>
      <c r="L191" s="127"/>
      <c r="M191" s="129"/>
      <c r="N191" s="128"/>
      <c r="P191" s="132"/>
      <c r="Q191" s="133"/>
    </row>
    <row r="192" spans="1:18" x14ac:dyDescent="0.2">
      <c r="A192" t="s">
        <v>114</v>
      </c>
      <c r="C192">
        <f>E180</f>
        <v>252.08333333333334</v>
      </c>
      <c r="D192" t="s">
        <v>913</v>
      </c>
      <c r="E192" s="225">
        <f>0.00000001*E180*E180*E148*E166/(2.54*E147)</f>
        <v>1.2459201152248654E-2</v>
      </c>
      <c r="F192" t="s">
        <v>898</v>
      </c>
      <c r="G192" s="225">
        <f>0.00000001*G180*G180*G148*G166/G147</f>
        <v>1.2459201152248656E-2</v>
      </c>
      <c r="H192" t="s">
        <v>898</v>
      </c>
      <c r="K192" s="127"/>
      <c r="L192" s="127"/>
      <c r="M192" s="129"/>
      <c r="N192" s="128"/>
      <c r="P192" s="132"/>
      <c r="Q192" s="133"/>
    </row>
    <row r="193" spans="1:28" x14ac:dyDescent="0.2">
      <c r="A193" t="s">
        <v>93</v>
      </c>
      <c r="E193" s="19">
        <f>10*E190*(0.01*E172)^2*PI()*8.93/4</f>
        <v>0.78500841851177316</v>
      </c>
      <c r="F193" t="s">
        <v>874</v>
      </c>
      <c r="G193" s="10">
        <f>E193/0.45359</f>
        <v>1.7306563603954521</v>
      </c>
      <c r="H193" t="s">
        <v>94</v>
      </c>
      <c r="K193" s="127"/>
      <c r="L193" s="127"/>
      <c r="M193" s="129"/>
      <c r="N193" s="128"/>
      <c r="P193" s="132"/>
      <c r="Q193" s="133"/>
    </row>
    <row r="194" spans="1:28" x14ac:dyDescent="0.2">
      <c r="E194" s="34"/>
      <c r="F194" s="18"/>
      <c r="G194" s="34"/>
      <c r="K194" s="127"/>
      <c r="L194" s="127"/>
      <c r="M194" s="129"/>
      <c r="N194" s="128"/>
      <c r="P194" s="132"/>
      <c r="Q194" s="133"/>
    </row>
    <row r="195" spans="1:28" x14ac:dyDescent="0.2">
      <c r="A195" s="3" t="s">
        <v>1228</v>
      </c>
      <c r="K195" s="127"/>
      <c r="L195" s="127"/>
      <c r="M195" s="129"/>
      <c r="N195" s="128"/>
      <c r="P195" s="132"/>
      <c r="Q195" s="133"/>
    </row>
    <row r="196" spans="1:28" x14ac:dyDescent="0.2">
      <c r="A196" s="130" t="s">
        <v>1230</v>
      </c>
      <c r="B196" s="148"/>
      <c r="C196" s="148"/>
      <c r="D196" s="148"/>
      <c r="E196" s="149">
        <v>45.4</v>
      </c>
      <c r="F196" s="150" t="s">
        <v>904</v>
      </c>
      <c r="G196" s="151">
        <f>E196/25.4</f>
        <v>1.7874015748031495</v>
      </c>
      <c r="H196" s="131" t="s">
        <v>835</v>
      </c>
      <c r="K196" s="127"/>
      <c r="L196" s="127"/>
      <c r="M196" s="129"/>
      <c r="N196" s="128"/>
      <c r="P196" s="132"/>
      <c r="Q196" s="133"/>
    </row>
    <row r="197" spans="1:28" x14ac:dyDescent="0.2">
      <c r="A197" s="144" t="s">
        <v>1231</v>
      </c>
      <c r="B197" s="25"/>
      <c r="C197" s="25"/>
      <c r="D197" s="25"/>
      <c r="E197" s="152">
        <v>70</v>
      </c>
      <c r="F197" s="79" t="s">
        <v>904</v>
      </c>
      <c r="G197" s="153">
        <f>E197/25.4</f>
        <v>2.7559055118110236</v>
      </c>
      <c r="H197" s="133" t="s">
        <v>835</v>
      </c>
      <c r="I197" t="s">
        <v>1219</v>
      </c>
      <c r="K197" s="127"/>
      <c r="L197" s="127"/>
      <c r="M197" s="129"/>
      <c r="N197" s="128"/>
      <c r="P197" s="132"/>
      <c r="Q197" s="133"/>
    </row>
    <row r="198" spans="1:28" x14ac:dyDescent="0.2">
      <c r="A198" s="144" t="s">
        <v>1218</v>
      </c>
      <c r="B198" s="25"/>
      <c r="C198" s="25"/>
      <c r="D198" s="25"/>
      <c r="E198" s="152">
        <v>310</v>
      </c>
      <c r="F198" s="79" t="s">
        <v>904</v>
      </c>
      <c r="G198" s="153">
        <f>E198/25.4</f>
        <v>12.20472440944882</v>
      </c>
      <c r="H198" s="133" t="s">
        <v>835</v>
      </c>
      <c r="K198" s="127"/>
      <c r="L198" s="127"/>
      <c r="M198" s="129"/>
      <c r="N198" s="128"/>
      <c r="P198" s="132"/>
      <c r="Q198" s="133"/>
    </row>
    <row r="199" spans="1:28" x14ac:dyDescent="0.2">
      <c r="A199" s="141" t="s">
        <v>1232</v>
      </c>
      <c r="B199" s="142"/>
      <c r="C199" s="142"/>
      <c r="D199" s="142"/>
      <c r="E199" s="154">
        <f>(E197-E196)/2</f>
        <v>12.3</v>
      </c>
      <c r="F199" s="155" t="s">
        <v>904</v>
      </c>
      <c r="G199" s="156">
        <f>E199/25.4</f>
        <v>0.48425196850393704</v>
      </c>
      <c r="H199" s="135" t="s">
        <v>835</v>
      </c>
      <c r="K199" s="127"/>
      <c r="L199" s="127"/>
      <c r="M199" s="129"/>
      <c r="N199" s="128"/>
      <c r="P199" s="132"/>
      <c r="Q199" s="133"/>
    </row>
    <row r="200" spans="1:28" x14ac:dyDescent="0.2">
      <c r="E200" s="34"/>
      <c r="F200" s="18"/>
      <c r="G200" s="34"/>
      <c r="K200" s="127"/>
      <c r="L200" s="127"/>
      <c r="M200" s="129"/>
      <c r="N200" s="128"/>
      <c r="P200" s="132"/>
      <c r="Q200" s="133"/>
    </row>
    <row r="201" spans="1:28" x14ac:dyDescent="0.2">
      <c r="A201" s="122" t="s">
        <v>922</v>
      </c>
      <c r="B201" s="87"/>
      <c r="C201" s="87"/>
      <c r="D201" s="87"/>
      <c r="E201" s="123"/>
      <c r="F201" s="87"/>
      <c r="G201" s="123"/>
      <c r="H201" s="87"/>
      <c r="I201" s="87"/>
      <c r="J201" s="87"/>
      <c r="K201" s="87"/>
      <c r="L201" s="87"/>
      <c r="M201" s="87"/>
      <c r="N201" s="128"/>
      <c r="P201" s="132" t="s">
        <v>873</v>
      </c>
      <c r="Q201" s="133">
        <v>-1608.0731090483487</v>
      </c>
    </row>
    <row r="202" spans="1:28" x14ac:dyDescent="0.2">
      <c r="A202" s="3"/>
      <c r="E202" s="31"/>
      <c r="F202" s="18"/>
      <c r="G202" s="31"/>
      <c r="K202" s="127"/>
      <c r="L202" s="127"/>
      <c r="M202" s="129"/>
      <c r="N202" s="128"/>
      <c r="P202" s="132" t="s">
        <v>877</v>
      </c>
      <c r="Q202" s="133">
        <v>32.747527154612811</v>
      </c>
    </row>
    <row r="203" spans="1:28" x14ac:dyDescent="0.2">
      <c r="A203" s="36" t="s">
        <v>940</v>
      </c>
      <c r="E203" s="31"/>
      <c r="F203" s="18"/>
      <c r="G203" s="31"/>
      <c r="K203" s="127"/>
      <c r="L203" s="127"/>
      <c r="M203" s="129"/>
      <c r="N203" s="128"/>
      <c r="P203" s="132" t="s">
        <v>878</v>
      </c>
      <c r="Q203" s="133">
        <v>1473.6216622650322</v>
      </c>
    </row>
    <row r="204" spans="1:28" ht="15.75" x14ac:dyDescent="0.3">
      <c r="A204" s="37" t="s">
        <v>941</v>
      </c>
      <c r="E204" s="28">
        <v>56.32</v>
      </c>
      <c r="F204" s="18" t="s">
        <v>942</v>
      </c>
      <c r="G204" s="31"/>
      <c r="I204" s="37" t="s">
        <v>1110</v>
      </c>
      <c r="K204" s="127"/>
      <c r="L204" s="127"/>
      <c r="M204" s="129"/>
      <c r="N204" s="128"/>
      <c r="P204" s="132" t="s">
        <v>879</v>
      </c>
      <c r="Q204" s="133">
        <v>1.5143150437090254</v>
      </c>
    </row>
    <row r="205" spans="1:28" ht="15.75" x14ac:dyDescent="0.3">
      <c r="A205" s="37" t="s">
        <v>943</v>
      </c>
      <c r="E205" s="38">
        <f xml:space="preserve"> 1 / (SQRT(2)*PI() * E161* (E219 * E149) * 0.00000001)</f>
        <v>3.7452910336246119</v>
      </c>
      <c r="F205" t="s">
        <v>1111</v>
      </c>
      <c r="H205" s="117">
        <f>E149</f>
        <v>6.4619819630076734</v>
      </c>
      <c r="I205" s="37" t="s">
        <v>1112</v>
      </c>
      <c r="K205" s="127"/>
      <c r="L205" s="127"/>
      <c r="M205" s="129"/>
      <c r="N205" s="128"/>
      <c r="P205" s="134" t="s">
        <v>882</v>
      </c>
      <c r="Q205" s="135">
        <v>-352.61428696897144</v>
      </c>
    </row>
    <row r="206" spans="1:28" ht="15.75" x14ac:dyDescent="0.3">
      <c r="A206" s="37" t="s">
        <v>944</v>
      </c>
      <c r="E206" s="16">
        <f>E204 / (SQRT(2)*PI() * E161* (E219 * E149) * 0.00000001)</f>
        <v>210.93479101373816</v>
      </c>
      <c r="F206" s="18" t="s">
        <v>913</v>
      </c>
      <c r="G206" s="31"/>
      <c r="H206" s="119" t="s">
        <v>1176</v>
      </c>
      <c r="I206" s="37" t="s">
        <v>1113</v>
      </c>
      <c r="T206" s="36" t="s">
        <v>290</v>
      </c>
    </row>
    <row r="207" spans="1:28" ht="15.75" x14ac:dyDescent="0.3">
      <c r="A207" s="37" t="s">
        <v>945</v>
      </c>
      <c r="E207" s="29">
        <f>E136</f>
        <v>236.1423321270145</v>
      </c>
      <c r="F207" s="18" t="s">
        <v>843</v>
      </c>
      <c r="G207" s="29">
        <f>G136</f>
        <v>236.1423321270145</v>
      </c>
      <c r="H207" t="s">
        <v>843</v>
      </c>
      <c r="I207" s="37" t="s">
        <v>1114</v>
      </c>
      <c r="J207" s="37"/>
      <c r="K207" s="37"/>
      <c r="L207" s="37"/>
      <c r="M207" s="37" t="s">
        <v>946</v>
      </c>
      <c r="Q207" s="37" t="s">
        <v>271</v>
      </c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 spans="1:28" ht="15.75" x14ac:dyDescent="0.3">
      <c r="A208" s="37" t="s">
        <v>947</v>
      </c>
      <c r="E208" s="16">
        <f xml:space="preserve"> E207 / (SQRT(2)*PI() * E161* (E219 * E149) * E162* 0.00000001)</f>
        <v>107.98653290631214</v>
      </c>
      <c r="F208" s="18" t="s">
        <v>913</v>
      </c>
      <c r="G208" s="16">
        <f xml:space="preserve"> G207 / (SQRT(2)*PI() * G161* (G219 * G149) * G162* 0.00000001)</f>
        <v>107.98653290631211</v>
      </c>
      <c r="H208" s="18" t="s">
        <v>913</v>
      </c>
      <c r="I208" s="37" t="s">
        <v>1115</v>
      </c>
      <c r="J208" s="37"/>
      <c r="K208" s="37"/>
      <c r="L208" s="37"/>
      <c r="M208" s="37" t="s">
        <v>1116</v>
      </c>
      <c r="Q208" s="37"/>
      <c r="R208" s="37"/>
      <c r="S208" s="37"/>
      <c r="T208" s="37"/>
      <c r="U208" s="37"/>
      <c r="V208" s="119" t="s">
        <v>273</v>
      </c>
      <c r="W208" s="37">
        <v>230</v>
      </c>
      <c r="X208" s="37"/>
      <c r="Y208" s="37"/>
      <c r="Z208" s="37"/>
      <c r="AA208" s="37"/>
      <c r="AB208" s="37"/>
    </row>
    <row r="209" spans="1:28" ht="15.75" x14ac:dyDescent="0.3">
      <c r="A209" s="37" t="s">
        <v>948</v>
      </c>
      <c r="E209" s="39">
        <f xml:space="preserve"> E207 / (SQRT(2)*PI() * E161 * E219  * (E167 * E162) * 0.00000001)</f>
        <v>2.7690793006395737</v>
      </c>
      <c r="F209" t="s">
        <v>1103</v>
      </c>
      <c r="G209" s="23">
        <f xml:space="preserve"> G207 / (SQRT(2)*PI() * G161 * G219  * (G167 * G162) * 0.00000001)</f>
        <v>0.42920815001543394</v>
      </c>
      <c r="H209" t="s">
        <v>1104</v>
      </c>
      <c r="I209" s="37" t="s">
        <v>1117</v>
      </c>
      <c r="J209" s="37"/>
      <c r="K209" s="37"/>
      <c r="L209" s="37"/>
      <c r="M209" s="37" t="s">
        <v>949</v>
      </c>
      <c r="O209" s="118">
        <f>E167</f>
        <v>251.99965480481228</v>
      </c>
      <c r="Q209" s="37" t="s">
        <v>272</v>
      </c>
      <c r="R209" s="37"/>
      <c r="S209" s="37"/>
      <c r="T209" s="37"/>
      <c r="U209" s="37"/>
      <c r="V209" s="119" t="s">
        <v>274</v>
      </c>
      <c r="W209" s="37">
        <f>0.16*SQRT(230)</f>
        <v>2.4265201420964964</v>
      </c>
      <c r="X209" s="37" t="s">
        <v>1000</v>
      </c>
      <c r="Y209" s="119" t="s">
        <v>275</v>
      </c>
      <c r="Z209" s="37">
        <f>SQRT(4*W209/PI())</f>
        <v>1.7577091343603028</v>
      </c>
      <c r="AA209" s="37" t="s">
        <v>289</v>
      </c>
    </row>
    <row r="210" spans="1:28" ht="15.75" x14ac:dyDescent="0.3">
      <c r="A210" s="37" t="s">
        <v>948</v>
      </c>
      <c r="E210" s="39">
        <f>E207 / (SQRT(2)*PI() * E161 * E219  * (E208 * E162) * 0.00000001)</f>
        <v>6.4619819630076734</v>
      </c>
      <c r="F210" t="s">
        <v>1103</v>
      </c>
      <c r="G210" s="23">
        <f>G207 / (SQRT(2)*PI() * G161 * G219  * (G208 * G162) * 0.00000001)</f>
        <v>1.0016092074846044</v>
      </c>
      <c r="H210" t="s">
        <v>1104</v>
      </c>
      <c r="I210" s="37" t="s">
        <v>1117</v>
      </c>
      <c r="J210" s="37"/>
      <c r="K210" s="37"/>
      <c r="L210" s="37"/>
      <c r="M210" s="37" t="s">
        <v>949</v>
      </c>
      <c r="O210" s="118">
        <f>E208</f>
        <v>107.98653290631214</v>
      </c>
      <c r="Q210" s="37" t="s">
        <v>276</v>
      </c>
      <c r="R210" s="37"/>
      <c r="S210" s="37"/>
      <c r="T210" s="37"/>
      <c r="U210" s="37"/>
      <c r="V210" s="119" t="s">
        <v>277</v>
      </c>
      <c r="W210" s="37">
        <f>5/W209</f>
        <v>2.0605639793618344</v>
      </c>
      <c r="X210" s="37" t="s">
        <v>278</v>
      </c>
      <c r="Y210" s="119" t="s">
        <v>275</v>
      </c>
      <c r="Z210" s="37">
        <f>25.4*Z209</f>
        <v>44.645812012751691</v>
      </c>
      <c r="AA210" s="37" t="s">
        <v>904</v>
      </c>
    </row>
    <row r="211" spans="1:28" x14ac:dyDescent="0.2"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x14ac:dyDescent="0.2">
      <c r="E212" s="31"/>
      <c r="F212" s="18"/>
      <c r="G212" s="31"/>
      <c r="Q212" s="37" t="s">
        <v>279</v>
      </c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x14ac:dyDescent="0.2">
      <c r="A213" s="3" t="s">
        <v>923</v>
      </c>
      <c r="E213" s="27"/>
      <c r="F213" s="18"/>
      <c r="G213" s="27"/>
      <c r="Q213" s="37"/>
      <c r="R213" s="37"/>
      <c r="S213" s="37"/>
      <c r="T213" s="37"/>
      <c r="U213" s="37"/>
      <c r="V213" s="37"/>
      <c r="W213" s="263" t="s">
        <v>280</v>
      </c>
      <c r="X213" s="263" t="s">
        <v>281</v>
      </c>
      <c r="Z213" s="37"/>
      <c r="AB213" s="37"/>
    </row>
    <row r="214" spans="1:28" x14ac:dyDescent="0.2">
      <c r="A214" t="s">
        <v>924</v>
      </c>
      <c r="E214" s="23">
        <f>0.8*E157</f>
        <v>21.769535962569421</v>
      </c>
      <c r="F214" t="s">
        <v>834</v>
      </c>
      <c r="G214" s="23">
        <f>0.8*G157</f>
        <v>8.5706834498304811</v>
      </c>
      <c r="H214" t="s">
        <v>835</v>
      </c>
      <c r="Q214" s="37" t="s">
        <v>282</v>
      </c>
      <c r="R214" s="37"/>
      <c r="S214" s="37"/>
      <c r="T214" s="37"/>
      <c r="U214" s="37">
        <f>SQRT(2)*PI()</f>
        <v>4.4428829381583661</v>
      </c>
      <c r="V214" s="37"/>
      <c r="W214" s="37">
        <f>4.44*60*W209*75000*2.06564*0.00000001</f>
        <v>1.0014609498507776</v>
      </c>
      <c r="X214" s="37">
        <f>4.44*50*W209*75000*2.06564*0.00000001</f>
        <v>0.8345507915423146</v>
      </c>
      <c r="Y214" s="37" t="s">
        <v>837</v>
      </c>
      <c r="AB214" s="37"/>
    </row>
    <row r="215" spans="1:28" x14ac:dyDescent="0.2"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 spans="1:28" x14ac:dyDescent="0.2">
      <c r="A216" s="122" t="s">
        <v>925</v>
      </c>
      <c r="B216" s="87"/>
      <c r="C216" s="87"/>
      <c r="D216" s="87"/>
      <c r="E216" s="123"/>
      <c r="F216" s="87"/>
      <c r="G216" s="123"/>
      <c r="H216" s="87"/>
      <c r="I216" s="87"/>
      <c r="J216" s="87"/>
      <c r="K216" s="87"/>
      <c r="L216" s="87"/>
      <c r="M216" s="87"/>
      <c r="Q216" s="37" t="s">
        <v>283</v>
      </c>
      <c r="R216" s="37" t="s">
        <v>284</v>
      </c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 spans="1:28" x14ac:dyDescent="0.2">
      <c r="A217" t="s">
        <v>926</v>
      </c>
      <c r="E217" s="28">
        <v>102.17871139523595</v>
      </c>
      <c r="F217" s="18"/>
      <c r="G217" s="29">
        <f>E217</f>
        <v>102.17871139523595</v>
      </c>
      <c r="I217" t="s">
        <v>927</v>
      </c>
      <c r="Q217" s="37"/>
      <c r="R217" s="37" t="s">
        <v>285</v>
      </c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 spans="1:28" ht="14.25" x14ac:dyDescent="0.2">
      <c r="A218" t="s">
        <v>928</v>
      </c>
      <c r="E218" s="16">
        <f>G218/2.54</f>
        <v>2145.75</v>
      </c>
      <c r="F218" t="s">
        <v>1189</v>
      </c>
      <c r="G218" s="28">
        <v>5450.2049999999999</v>
      </c>
      <c r="H218" t="s">
        <v>1188</v>
      </c>
      <c r="I218" t="s">
        <v>929</v>
      </c>
      <c r="Q218" s="37"/>
      <c r="R218" s="37" t="s">
        <v>286</v>
      </c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 spans="1:28" ht="14.25" x14ac:dyDescent="0.2">
      <c r="A219" t="s">
        <v>930</v>
      </c>
      <c r="E219" s="16">
        <f>G219/(2.54*2.54)</f>
        <v>9300.0186000371996</v>
      </c>
      <c r="F219" s="18" t="s">
        <v>931</v>
      </c>
      <c r="G219" s="28">
        <v>60000</v>
      </c>
      <c r="H219" t="s">
        <v>1108</v>
      </c>
      <c r="I219" t="s">
        <v>932</v>
      </c>
      <c r="Q219" s="37"/>
      <c r="R219" s="37" t="s">
        <v>287</v>
      </c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 spans="1:28" x14ac:dyDescent="0.2">
      <c r="A220" t="s">
        <v>1109</v>
      </c>
      <c r="E220" s="16">
        <f>E219*E149</f>
        <v>60096.552449076255</v>
      </c>
      <c r="F220" s="18" t="s">
        <v>933</v>
      </c>
      <c r="G220" s="16">
        <f>G219*G149</f>
        <v>60096.552449076262</v>
      </c>
      <c r="H220" t="s">
        <v>934</v>
      </c>
      <c r="Q220" s="37"/>
      <c r="R220" s="37" t="s">
        <v>288</v>
      </c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 spans="1:28" x14ac:dyDescent="0.2">
      <c r="E221" s="31"/>
      <c r="F221" s="18"/>
      <c r="G221" s="31"/>
    </row>
    <row r="222" spans="1:28" x14ac:dyDescent="0.2">
      <c r="A222" t="s">
        <v>935</v>
      </c>
      <c r="E222" s="16">
        <f>E217*E167</f>
        <v>25749</v>
      </c>
      <c r="F222" s="18" t="s">
        <v>913</v>
      </c>
      <c r="G222" s="16">
        <f>G217*G167</f>
        <v>25748.999999999996</v>
      </c>
      <c r="H222" s="18" t="s">
        <v>913</v>
      </c>
    </row>
    <row r="223" spans="1:28" x14ac:dyDescent="0.2">
      <c r="A223" t="s">
        <v>936</v>
      </c>
      <c r="E223" s="16">
        <f>E218*E129</f>
        <v>25749</v>
      </c>
      <c r="F223" s="18" t="s">
        <v>913</v>
      </c>
      <c r="G223" s="16">
        <f>G218*G129</f>
        <v>25748.999999999996</v>
      </c>
      <c r="H223" s="18" t="s">
        <v>913</v>
      </c>
      <c r="I223" t="s">
        <v>937</v>
      </c>
    </row>
    <row r="224" spans="1:28" x14ac:dyDescent="0.2">
      <c r="E224" s="31"/>
      <c r="F224" s="18"/>
      <c r="G224" s="31"/>
    </row>
    <row r="225" spans="1:15" x14ac:dyDescent="0.2">
      <c r="A225" t="s">
        <v>938</v>
      </c>
      <c r="E225" s="29">
        <f>E130/E217</f>
        <v>822.87608572545719</v>
      </c>
      <c r="F225" s="18" t="s">
        <v>837</v>
      </c>
      <c r="G225" s="29">
        <f>G130/G217</f>
        <v>822.87608572545719</v>
      </c>
      <c r="H225" t="s">
        <v>837</v>
      </c>
      <c r="I225" t="s">
        <v>939</v>
      </c>
    </row>
    <row r="226" spans="1:15" x14ac:dyDescent="0.2">
      <c r="E226" s="31"/>
      <c r="F226" s="18"/>
      <c r="G226" s="31"/>
    </row>
    <row r="227" spans="1:15" x14ac:dyDescent="0.2">
      <c r="E227" s="31"/>
      <c r="F227" s="18"/>
      <c r="G227" s="31"/>
    </row>
    <row r="228" spans="1:15" x14ac:dyDescent="0.2">
      <c r="B228" s="40" t="s">
        <v>950</v>
      </c>
    </row>
    <row r="230" spans="1:15" x14ac:dyDescent="0.2">
      <c r="A230" t="s">
        <v>952</v>
      </c>
      <c r="E230" s="16">
        <f>E222</f>
        <v>25749</v>
      </c>
      <c r="F230" t="s">
        <v>913</v>
      </c>
    </row>
    <row r="231" spans="1:15" x14ac:dyDescent="0.2">
      <c r="A231" t="s">
        <v>954</v>
      </c>
      <c r="E231" s="23">
        <f>E197</f>
        <v>70</v>
      </c>
      <c r="F231" t="s">
        <v>904</v>
      </c>
      <c r="G231" s="23">
        <f t="shared" ref="G231:G238" si="1">E231/25.4</f>
        <v>2.7559055118110236</v>
      </c>
      <c r="H231" t="s">
        <v>835</v>
      </c>
    </row>
    <row r="232" spans="1:15" x14ac:dyDescent="0.2">
      <c r="A232" t="s">
        <v>776</v>
      </c>
      <c r="D232" s="39">
        <f>E214*10</f>
        <v>217.69535962569421</v>
      </c>
      <c r="E232" s="17">
        <v>240</v>
      </c>
      <c r="F232" t="s">
        <v>766</v>
      </c>
      <c r="G232" s="23">
        <f t="shared" si="1"/>
        <v>9.4488188976377963</v>
      </c>
      <c r="H232" t="s">
        <v>835</v>
      </c>
      <c r="M232">
        <f>E235+E236</f>
        <v>0.66500000000000004</v>
      </c>
    </row>
    <row r="233" spans="1:15" x14ac:dyDescent="0.2">
      <c r="A233" t="s">
        <v>958</v>
      </c>
      <c r="E233" s="17">
        <v>240</v>
      </c>
      <c r="F233" t="s">
        <v>904</v>
      </c>
      <c r="G233" s="23">
        <f t="shared" si="1"/>
        <v>9.4488188976377963</v>
      </c>
      <c r="H233" t="s">
        <v>835</v>
      </c>
      <c r="M233">
        <v>0.39623999999999998</v>
      </c>
    </row>
    <row r="234" spans="1:15" x14ac:dyDescent="0.2">
      <c r="A234" t="s">
        <v>960</v>
      </c>
      <c r="E234" s="10">
        <f>(E232+E233)/2</f>
        <v>240</v>
      </c>
      <c r="F234" t="s">
        <v>904</v>
      </c>
      <c r="G234" s="23">
        <f t="shared" si="1"/>
        <v>9.4488188976377963</v>
      </c>
      <c r="H234" t="s">
        <v>835</v>
      </c>
      <c r="O234" s="18"/>
    </row>
    <row r="235" spans="1:15" x14ac:dyDescent="0.2">
      <c r="A235" t="s">
        <v>961</v>
      </c>
      <c r="E235" s="17">
        <v>0.315</v>
      </c>
      <c r="F235" t="s">
        <v>904</v>
      </c>
      <c r="G235" s="29">
        <f t="shared" si="1"/>
        <v>1.2401574803149608E-2</v>
      </c>
      <c r="H235" t="s">
        <v>1186</v>
      </c>
      <c r="I235" s="121">
        <f>18.2054244290934-8.62881347370181*LN(E235)</f>
        <v>28.17327995906227</v>
      </c>
      <c r="J235" t="s">
        <v>1181</v>
      </c>
      <c r="K235" s="126">
        <f>($Q$182+$Q$184*SQRT(E235)+$Q$186*E235+$Q$201*E235*SQRT(E235)+$Q$203*E235*E235+$Q$205*E235*E235*SQRT(E235))/(1+$Q$183*SQRT(E235)+$Q$185*E235+$Q$187*E235*SQRT(E235)+$Q$202*E235*E235+$Q$204*E235*E235*SQRT(E235))</f>
        <v>30.168254516753429</v>
      </c>
      <c r="L235" t="s">
        <v>1187</v>
      </c>
      <c r="O235" s="18"/>
    </row>
    <row r="236" spans="1:15" x14ac:dyDescent="0.2">
      <c r="A236" s="144" t="s">
        <v>1227</v>
      </c>
      <c r="E236" s="233">
        <v>0.35</v>
      </c>
      <c r="F236" t="s">
        <v>904</v>
      </c>
      <c r="G236" s="29">
        <f t="shared" si="1"/>
        <v>1.3779527559055118E-2</v>
      </c>
      <c r="H236" t="s">
        <v>835</v>
      </c>
    </row>
    <row r="237" spans="1:15" x14ac:dyDescent="0.2">
      <c r="A237" t="s">
        <v>963</v>
      </c>
      <c r="E237" s="17">
        <v>0.1</v>
      </c>
      <c r="F237" t="s">
        <v>904</v>
      </c>
      <c r="G237" s="29">
        <f t="shared" si="1"/>
        <v>3.9370078740157488E-3</v>
      </c>
      <c r="H237" t="s">
        <v>835</v>
      </c>
    </row>
    <row r="238" spans="1:15" x14ac:dyDescent="0.2">
      <c r="A238" t="s">
        <v>964</v>
      </c>
      <c r="E238" s="17">
        <v>0.04</v>
      </c>
      <c r="F238" t="s">
        <v>904</v>
      </c>
      <c r="G238" s="29">
        <f t="shared" si="1"/>
        <v>1.5748031496062994E-3</v>
      </c>
      <c r="H238" t="s">
        <v>835</v>
      </c>
      <c r="I238" s="40" t="s">
        <v>951</v>
      </c>
    </row>
    <row r="239" spans="1:15" x14ac:dyDescent="0.2">
      <c r="A239" s="147" t="s">
        <v>131</v>
      </c>
      <c r="E239" s="23">
        <f>(E245-1)*(E237+E238)</f>
        <v>5.1170875000000002</v>
      </c>
      <c r="F239" t="s">
        <v>904</v>
      </c>
    </row>
    <row r="240" spans="1:15" x14ac:dyDescent="0.2">
      <c r="A240" t="s">
        <v>967</v>
      </c>
      <c r="E240" s="16">
        <f>E232/E236</f>
        <v>685.71428571428578</v>
      </c>
      <c r="F240" t="s">
        <v>913</v>
      </c>
      <c r="I240" t="s">
        <v>953</v>
      </c>
      <c r="M240" s="10">
        <f>E230</f>
        <v>25749</v>
      </c>
      <c r="N240" t="s">
        <v>913</v>
      </c>
    </row>
    <row r="241" spans="1:14" x14ac:dyDescent="0.2">
      <c r="A241" t="s">
        <v>969</v>
      </c>
      <c r="E241" s="16">
        <f>E234/E236</f>
        <v>685.71428571428578</v>
      </c>
      <c r="F241" t="s">
        <v>913</v>
      </c>
      <c r="I241" s="41" t="s">
        <v>955</v>
      </c>
      <c r="M241" s="23">
        <f>(E231+E246)/(2*25.4)</f>
        <v>3.428564345472441</v>
      </c>
      <c r="N241" t="s">
        <v>835</v>
      </c>
    </row>
    <row r="242" spans="1:14" x14ac:dyDescent="0.2">
      <c r="A242" t="s">
        <v>972</v>
      </c>
      <c r="E242" s="16">
        <f>E233/E236</f>
        <v>685.71428571428578</v>
      </c>
      <c r="F242" t="s">
        <v>913</v>
      </c>
      <c r="I242" s="41" t="s">
        <v>957</v>
      </c>
      <c r="M242" s="23">
        <f>E241*E236/25.4</f>
        <v>9.4488188976377963</v>
      </c>
      <c r="N242" t="s">
        <v>835</v>
      </c>
    </row>
    <row r="243" spans="1:14" x14ac:dyDescent="0.2">
      <c r="A243" t="s">
        <v>973</v>
      </c>
      <c r="E243" s="23">
        <f>((E240-E242)/E245)</f>
        <v>0</v>
      </c>
      <c r="F243" t="s">
        <v>913</v>
      </c>
      <c r="I243" t="s">
        <v>959</v>
      </c>
      <c r="M243" s="23">
        <f>E245*(E235+E238+E237)/25.4</f>
        <v>0.67265883366141732</v>
      </c>
      <c r="N243" t="s">
        <v>835</v>
      </c>
    </row>
    <row r="244" spans="1:14" ht="15.75" x14ac:dyDescent="0.3">
      <c r="I244" t="s">
        <v>1118</v>
      </c>
      <c r="M244" s="39">
        <f>0.000001*(0.2*M241^2*M240^2)/(3*M241+9*M242+10*M243)</f>
        <v>15.274088479262291</v>
      </c>
      <c r="N244" t="s">
        <v>898</v>
      </c>
    </row>
    <row r="245" spans="1:14" x14ac:dyDescent="0.2">
      <c r="A245" t="s">
        <v>1124</v>
      </c>
      <c r="E245" s="39">
        <f>E230/E241</f>
        <v>37.550624999999997</v>
      </c>
      <c r="F245" s="30" t="s">
        <v>975</v>
      </c>
      <c r="I245" t="s">
        <v>1119</v>
      </c>
      <c r="M245" s="17">
        <v>8.1199999999999992</v>
      </c>
    </row>
    <row r="246" spans="1:14" ht="15.75" x14ac:dyDescent="0.3">
      <c r="A246" t="s">
        <v>1125</v>
      </c>
      <c r="E246" s="39">
        <f>(E235+E237+E238)*E245*2+E231</f>
        <v>104.17106874999999</v>
      </c>
      <c r="F246" t="s">
        <v>904</v>
      </c>
      <c r="I246" t="s">
        <v>1120</v>
      </c>
      <c r="M246" s="39">
        <f>M244*M245</f>
        <v>124.0255984516098</v>
      </c>
      <c r="N246" t="s">
        <v>898</v>
      </c>
    </row>
    <row r="247" spans="1:14" ht="15.75" x14ac:dyDescent="0.3">
      <c r="A247" t="s">
        <v>1140</v>
      </c>
      <c r="E247" s="23">
        <f>(E232-E233)/(2*E245)</f>
        <v>0</v>
      </c>
      <c r="F247" t="s">
        <v>904</v>
      </c>
      <c r="I247" t="s">
        <v>1121</v>
      </c>
      <c r="M247" s="16">
        <f>E250*0.01786/(E235*E235*PI()/4)</f>
        <v>1614.4579081379363</v>
      </c>
      <c r="N247" t="s">
        <v>965</v>
      </c>
    </row>
    <row r="248" spans="1:14" ht="14.25" x14ac:dyDescent="0.2">
      <c r="I248" t="s">
        <v>966</v>
      </c>
      <c r="M248" s="17">
        <v>4</v>
      </c>
      <c r="N248" t="s">
        <v>1105</v>
      </c>
    </row>
    <row r="249" spans="1:14" x14ac:dyDescent="0.2">
      <c r="A249" t="s">
        <v>1126</v>
      </c>
      <c r="E249" s="39">
        <f>PI()*(E231+E246)/2</f>
        <v>273.58727502644138</v>
      </c>
      <c r="F249" t="s">
        <v>904</v>
      </c>
      <c r="I249" t="s">
        <v>968</v>
      </c>
      <c r="M249" s="39">
        <f>1000*(E235*E235*PI()/4)*M248</f>
        <v>311.72453105244722</v>
      </c>
      <c r="N249" t="s">
        <v>840</v>
      </c>
    </row>
    <row r="250" spans="1:14" x14ac:dyDescent="0.2">
      <c r="A250" t="s">
        <v>1127</v>
      </c>
      <c r="E250" s="16">
        <f>E249*E230/1000</f>
        <v>7044.5987446558393</v>
      </c>
      <c r="F250" t="s">
        <v>980</v>
      </c>
      <c r="I250" t="s">
        <v>970</v>
      </c>
      <c r="M250" s="23">
        <f>0.000001*M249*M249*M247</f>
        <v>156.8803997149229</v>
      </c>
      <c r="N250" t="s">
        <v>971</v>
      </c>
    </row>
    <row r="251" spans="1:14" x14ac:dyDescent="0.2">
      <c r="A251" t="s">
        <v>1128</v>
      </c>
      <c r="E251" s="19">
        <f>10*E250*(0.01*E235)^2*PI()*8.93/4</f>
        <v>4.9025124910913425</v>
      </c>
      <c r="F251" t="s">
        <v>874</v>
      </c>
    </row>
    <row r="252" spans="1:14" x14ac:dyDescent="0.2">
      <c r="A252" s="122" t="s">
        <v>1152</v>
      </c>
      <c r="B252" s="87"/>
      <c r="C252" s="87"/>
      <c r="D252" s="87"/>
      <c r="E252" s="123"/>
      <c r="F252" s="87"/>
      <c r="G252" s="123"/>
      <c r="H252" s="87"/>
      <c r="I252" s="87"/>
      <c r="J252" s="87"/>
      <c r="K252" s="87"/>
      <c r="L252" s="87"/>
      <c r="M252" s="87"/>
    </row>
    <row r="255" spans="1:14" x14ac:dyDescent="0.2">
      <c r="A255" s="3" t="s">
        <v>982</v>
      </c>
    </row>
    <row r="256" spans="1:14" x14ac:dyDescent="0.2">
      <c r="A256" t="s">
        <v>1134</v>
      </c>
      <c r="E256" s="23">
        <f>E246/E186</f>
        <v>2.1702305989583328</v>
      </c>
      <c r="G256" s="100" t="str">
        <f>IF(E256&lt;=2.5,"OK","too fat")</f>
        <v>OK</v>
      </c>
    </row>
    <row r="257" spans="1:7" x14ac:dyDescent="0.2">
      <c r="E257" s="27"/>
      <c r="F257" s="18"/>
      <c r="G257" s="27"/>
    </row>
    <row r="259" spans="1:7" x14ac:dyDescent="0.2">
      <c r="A259" s="3" t="s">
        <v>1135</v>
      </c>
    </row>
    <row r="260" spans="1:7" x14ac:dyDescent="0.2">
      <c r="A260" s="3" t="s">
        <v>983</v>
      </c>
    </row>
    <row r="261" spans="1:7" x14ac:dyDescent="0.2">
      <c r="A261" t="s">
        <v>1136</v>
      </c>
      <c r="E261" s="23">
        <f>0.1*E232/E129</f>
        <v>2</v>
      </c>
      <c r="G261" s="112" t="str">
        <f>IF(E261&gt;=1.33,"OK","too short")</f>
        <v>OK</v>
      </c>
    </row>
    <row r="264" spans="1:7" x14ac:dyDescent="0.2">
      <c r="A264" s="3" t="s">
        <v>984</v>
      </c>
    </row>
    <row r="265" spans="1:7" x14ac:dyDescent="0.2">
      <c r="A265" s="3" t="s">
        <v>985</v>
      </c>
    </row>
    <row r="266" spans="1:7" x14ac:dyDescent="0.2">
      <c r="A266" s="3" t="s">
        <v>986</v>
      </c>
    </row>
    <row r="267" spans="1:7" x14ac:dyDescent="0.2">
      <c r="A267" t="s">
        <v>1137</v>
      </c>
      <c r="E267" s="23">
        <f>0.1*E187/E129</f>
        <v>2.519622217889979</v>
      </c>
      <c r="G267" s="112" t="str">
        <f>IF(E267&gt;=2,"OK","too short")</f>
        <v>OK</v>
      </c>
    </row>
    <row r="268" spans="1:7" x14ac:dyDescent="0.2">
      <c r="A268" t="s">
        <v>1177</v>
      </c>
      <c r="E268" s="23">
        <f>E187/E232</f>
        <v>1.2598111089449895</v>
      </c>
      <c r="G268" s="112" t="str">
        <f>IF(E268&gt;=2,"OK","too short")</f>
        <v>too short</v>
      </c>
    </row>
    <row r="269" spans="1:7" x14ac:dyDescent="0.2">
      <c r="A269" s="3"/>
    </row>
    <row r="270" spans="1:7" x14ac:dyDescent="0.2">
      <c r="A270" s="3" t="s">
        <v>987</v>
      </c>
    </row>
    <row r="271" spans="1:7" x14ac:dyDescent="0.2">
      <c r="A271" s="3" t="s">
        <v>988</v>
      </c>
    </row>
    <row r="272" spans="1:7" x14ac:dyDescent="0.2">
      <c r="A272" s="113" t="s">
        <v>1138</v>
      </c>
      <c r="E272" s="10">
        <f>G218</f>
        <v>5450.2049999999999</v>
      </c>
      <c r="F272" t="s">
        <v>1139</v>
      </c>
    </row>
    <row r="273" spans="1:9" x14ac:dyDescent="0.2">
      <c r="A273" s="3"/>
    </row>
    <row r="274" spans="1:9" x14ac:dyDescent="0.2">
      <c r="A274" s="3"/>
    </row>
    <row r="275" spans="1:9" x14ac:dyDescent="0.2">
      <c r="A275" s="3" t="s">
        <v>989</v>
      </c>
    </row>
    <row r="276" spans="1:9" x14ac:dyDescent="0.2">
      <c r="A276" s="3" t="s">
        <v>990</v>
      </c>
    </row>
    <row r="277" spans="1:9" x14ac:dyDescent="0.2">
      <c r="A277" s="3" t="s">
        <v>991</v>
      </c>
    </row>
    <row r="278" spans="1:9" x14ac:dyDescent="0.2">
      <c r="A278" s="113" t="s">
        <v>1141</v>
      </c>
      <c r="E278" s="10">
        <f>E217</f>
        <v>102.17871139523595</v>
      </c>
      <c r="F278" t="s">
        <v>1139</v>
      </c>
    </row>
    <row r="279" spans="1:9" x14ac:dyDescent="0.2">
      <c r="A279" s="3"/>
    </row>
    <row r="280" spans="1:9" x14ac:dyDescent="0.2">
      <c r="A280" s="3"/>
    </row>
    <row r="281" spans="1:9" x14ac:dyDescent="0.2">
      <c r="A281" s="3" t="s">
        <v>1142</v>
      </c>
    </row>
    <row r="282" spans="1:9" x14ac:dyDescent="0.2">
      <c r="A282" s="3" t="s">
        <v>1143</v>
      </c>
    </row>
    <row r="283" spans="1:9" x14ac:dyDescent="0.2">
      <c r="A283" s="113" t="s">
        <v>1144</v>
      </c>
      <c r="E283" s="10">
        <f>E179/E147</f>
        <v>0.8003845387406906</v>
      </c>
      <c r="G283" s="112" t="str">
        <f>IF(E283&gt;=0.85,"OK",IF(E283&gt;=0.7,"a bit short","too short"))</f>
        <v>a bit short</v>
      </c>
      <c r="I283" t="s">
        <v>426</v>
      </c>
    </row>
    <row r="284" spans="1:9" x14ac:dyDescent="0.2">
      <c r="A284" s="113" t="s">
        <v>1145</v>
      </c>
      <c r="E284" s="10">
        <f>E178-E177</f>
        <v>0.22195810491448675</v>
      </c>
      <c r="G284" s="112" t="str">
        <f>IF(E284&lt;0.5,"low",IF(AND(E284&gt;=0.5,E284&lt;=1),"OK","too high"))</f>
        <v>low</v>
      </c>
    </row>
    <row r="285" spans="1:9" x14ac:dyDescent="0.2">
      <c r="A285" s="3"/>
      <c r="D285" s="33" t="s">
        <v>1178</v>
      </c>
      <c r="E285" s="112">
        <f>E178</f>
        <v>2</v>
      </c>
      <c r="F285" s="2" t="s">
        <v>1179</v>
      </c>
      <c r="G285" s="100">
        <f>E177</f>
        <v>1.7780418950855132</v>
      </c>
      <c r="H285" t="s">
        <v>1180</v>
      </c>
    </row>
    <row r="286" spans="1:9" x14ac:dyDescent="0.2">
      <c r="A286" s="3"/>
      <c r="D286" s="33"/>
      <c r="E286" s="116"/>
      <c r="F286" s="116"/>
      <c r="G286" s="120"/>
    </row>
    <row r="287" spans="1:9" x14ac:dyDescent="0.2">
      <c r="A287" s="3"/>
    </row>
    <row r="288" spans="1:9" x14ac:dyDescent="0.2">
      <c r="A288" s="3" t="s">
        <v>1148</v>
      </c>
    </row>
    <row r="289" spans="1:6" x14ac:dyDescent="0.2">
      <c r="A289" s="3" t="s">
        <v>1146</v>
      </c>
    </row>
    <row r="290" spans="1:6" x14ac:dyDescent="0.2">
      <c r="A290" s="3" t="s">
        <v>1149</v>
      </c>
    </row>
    <row r="291" spans="1:6" x14ac:dyDescent="0.2">
      <c r="A291" s="113" t="s">
        <v>1147</v>
      </c>
    </row>
    <row r="292" spans="1:6" x14ac:dyDescent="0.2">
      <c r="A292" s="3"/>
    </row>
    <row r="293" spans="1:6" x14ac:dyDescent="0.2">
      <c r="A293" s="3"/>
    </row>
    <row r="294" spans="1:6" x14ac:dyDescent="0.2">
      <c r="A294" s="3" t="s">
        <v>1157</v>
      </c>
    </row>
    <row r="295" spans="1:6" x14ac:dyDescent="0.2">
      <c r="A295" s="3" t="s">
        <v>1153</v>
      </c>
    </row>
    <row r="296" spans="1:6" x14ac:dyDescent="0.2">
      <c r="A296" s="3" t="s">
        <v>1156</v>
      </c>
    </row>
    <row r="297" spans="1:6" x14ac:dyDescent="0.2">
      <c r="A297" s="3" t="s">
        <v>1155</v>
      </c>
    </row>
    <row r="298" spans="1:6" x14ac:dyDescent="0.2">
      <c r="A298" s="3" t="s">
        <v>1154</v>
      </c>
    </row>
    <row r="300" spans="1:6" x14ac:dyDescent="0.2">
      <c r="A300" s="113" t="s">
        <v>1158</v>
      </c>
    </row>
    <row r="301" spans="1:6" x14ac:dyDescent="0.2">
      <c r="A301" s="113" t="s">
        <v>1159</v>
      </c>
      <c r="E301" s="23">
        <f>0.277513707713303+0.126392777117194*EXP(-G129/(-6.84564814481717))</f>
        <v>0.52953853251574401</v>
      </c>
      <c r="F301" t="s">
        <v>1160</v>
      </c>
    </row>
    <row r="305" spans="1:8" x14ac:dyDescent="0.2">
      <c r="A305" s="18"/>
      <c r="B305" s="18"/>
      <c r="C305" s="18"/>
      <c r="D305" s="18"/>
      <c r="E305" s="116"/>
      <c r="F305" s="18"/>
      <c r="G305" s="116"/>
      <c r="H305" s="18"/>
    </row>
    <row r="306" spans="1:8" x14ac:dyDescent="0.2">
      <c r="A306" s="18"/>
      <c r="B306" s="18"/>
      <c r="C306" s="18"/>
      <c r="D306" s="18"/>
      <c r="E306" s="18"/>
      <c r="F306" s="18"/>
      <c r="G306" s="18"/>
      <c r="H306" s="18"/>
    </row>
    <row r="307" spans="1:8" x14ac:dyDescent="0.2">
      <c r="A307" s="18"/>
      <c r="B307" s="18"/>
      <c r="C307" s="18"/>
      <c r="D307" s="18"/>
      <c r="E307" s="34"/>
      <c r="F307" s="18"/>
      <c r="G307" s="34"/>
      <c r="H307" s="18"/>
    </row>
    <row r="308" spans="1:8" x14ac:dyDescent="0.2">
      <c r="A308" s="18"/>
      <c r="B308" s="18"/>
      <c r="C308" s="18"/>
      <c r="D308" s="18"/>
      <c r="E308" s="18"/>
      <c r="F308" s="18"/>
      <c r="G308" s="18"/>
      <c r="H308" s="18"/>
    </row>
    <row r="309" spans="1:8" x14ac:dyDescent="0.2">
      <c r="A309" s="18"/>
      <c r="B309" s="18"/>
      <c r="C309" s="18"/>
      <c r="D309" s="18"/>
      <c r="E309" s="27"/>
      <c r="F309" s="18"/>
      <c r="G309" s="18"/>
      <c r="H309" s="18"/>
    </row>
    <row r="310" spans="1:8" x14ac:dyDescent="0.2">
      <c r="A310" s="18"/>
      <c r="B310" s="18"/>
      <c r="C310" s="18"/>
      <c r="D310" s="18"/>
      <c r="E310" s="18"/>
      <c r="F310" s="18"/>
      <c r="G310" s="18"/>
      <c r="H310" s="18"/>
    </row>
    <row r="311" spans="1:8" x14ac:dyDescent="0.2">
      <c r="A311" s="18"/>
      <c r="B311" s="18"/>
      <c r="C311" s="18"/>
      <c r="D311" s="18"/>
      <c r="E311" s="18"/>
      <c r="F311" s="18"/>
      <c r="G311" s="18"/>
      <c r="H311" s="18"/>
    </row>
    <row r="312" spans="1:8" x14ac:dyDescent="0.2">
      <c r="A312" s="18"/>
      <c r="B312" s="18"/>
      <c r="C312" s="18"/>
      <c r="D312" s="18"/>
      <c r="E312" s="116"/>
      <c r="F312" s="18"/>
      <c r="G312" s="86"/>
      <c r="H312" s="18"/>
    </row>
    <row r="313" spans="1:8" x14ac:dyDescent="0.2">
      <c r="A313" s="18"/>
      <c r="B313" s="18"/>
      <c r="C313" s="18"/>
      <c r="D313" s="18"/>
      <c r="E313" s="18"/>
      <c r="F313" s="18"/>
      <c r="G313" s="84"/>
      <c r="H313" s="18"/>
    </row>
    <row r="314" spans="1:8" x14ac:dyDescent="0.2">
      <c r="A314" s="18"/>
      <c r="B314" s="18"/>
      <c r="C314" s="18"/>
      <c r="D314" s="18"/>
      <c r="E314" s="18"/>
      <c r="F314" s="18"/>
      <c r="G314" s="18"/>
      <c r="H314" s="18"/>
    </row>
    <row r="315" spans="1:8" x14ac:dyDescent="0.2">
      <c r="A315" s="18"/>
      <c r="B315" s="18"/>
      <c r="C315" s="18"/>
      <c r="D315" s="18"/>
      <c r="E315" s="18"/>
      <c r="F315" s="18"/>
      <c r="G315" s="18"/>
      <c r="H315" s="18"/>
    </row>
    <row r="316" spans="1:8" x14ac:dyDescent="0.2">
      <c r="A316" s="18"/>
      <c r="B316" s="18"/>
      <c r="C316" s="18"/>
      <c r="D316" s="18"/>
      <c r="E316" s="18"/>
      <c r="F316" s="18"/>
      <c r="G316" s="18"/>
      <c r="H316" s="18"/>
    </row>
    <row r="317" spans="1:8" x14ac:dyDescent="0.2">
      <c r="A317" s="18"/>
      <c r="B317" s="18"/>
      <c r="C317" s="18"/>
      <c r="D317" s="18"/>
      <c r="E317" s="18"/>
      <c r="F317" s="18"/>
      <c r="G317" s="18"/>
      <c r="H317" s="18"/>
    </row>
    <row r="318" spans="1:8" x14ac:dyDescent="0.2">
      <c r="A318" s="18"/>
      <c r="B318" s="18"/>
      <c r="C318" s="18"/>
      <c r="D318" s="18"/>
      <c r="E318" s="18"/>
      <c r="F318" s="18"/>
      <c r="G318" s="18"/>
      <c r="H318" s="18"/>
    </row>
    <row r="319" spans="1:8" x14ac:dyDescent="0.2">
      <c r="A319" s="18"/>
      <c r="B319" s="18"/>
      <c r="C319" s="18"/>
      <c r="D319" s="18"/>
      <c r="E319" s="18"/>
      <c r="F319" s="18"/>
      <c r="G319" s="18"/>
      <c r="H319" s="18"/>
    </row>
  </sheetData>
  <mergeCells count="1">
    <mergeCell ref="K8:Z8"/>
  </mergeCells>
  <phoneticPr fontId="0" type="noConversion"/>
  <pageMargins left="1.1000000000000001" right="0.78740157499999996" top="0.2" bottom="0.48" header="0.17" footer="0.28000000000000003"/>
  <pageSetup paperSize="9" orientation="portrait" verticalDpi="0" r:id="rId1"/>
  <headerFooter alignWithMargins="0">
    <oddFooter>&amp;L&amp;F&amp;R&amp;D / K.Schraner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  <pageSetUpPr fitToPage="1"/>
  </sheetPr>
  <dimension ref="A1:N53"/>
  <sheetViews>
    <sheetView workbookViewId="0"/>
  </sheetViews>
  <sheetFormatPr baseColWidth="10" defaultRowHeight="12.75" x14ac:dyDescent="0.2"/>
  <cols>
    <col min="1" max="1" width="24.7109375" customWidth="1"/>
  </cols>
  <sheetData>
    <row r="1" spans="1:13" ht="26.25" x14ac:dyDescent="0.4">
      <c r="A1" s="312" t="s">
        <v>545</v>
      </c>
      <c r="B1" s="33"/>
      <c r="D1" s="242"/>
      <c r="E1" s="2"/>
      <c r="H1" s="37" t="s">
        <v>591</v>
      </c>
    </row>
    <row r="2" spans="1:13" x14ac:dyDescent="0.2">
      <c r="B2" s="33"/>
      <c r="D2" s="242"/>
      <c r="E2" s="2"/>
      <c r="G2" s="33"/>
    </row>
    <row r="3" spans="1:13" x14ac:dyDescent="0.2">
      <c r="B3" t="s">
        <v>1021</v>
      </c>
      <c r="C3" s="286" t="s">
        <v>764</v>
      </c>
      <c r="D3" s="242"/>
      <c r="E3" s="2"/>
    </row>
    <row r="4" spans="1:13" x14ac:dyDescent="0.2">
      <c r="B4" s="33"/>
      <c r="D4" s="242"/>
      <c r="E4" s="2"/>
    </row>
    <row r="5" spans="1:13" x14ac:dyDescent="0.2">
      <c r="A5" s="40" t="s">
        <v>546</v>
      </c>
      <c r="B5" s="33"/>
      <c r="D5" s="242"/>
      <c r="E5" s="239" t="s">
        <v>547</v>
      </c>
      <c r="K5" s="40" t="s">
        <v>951</v>
      </c>
    </row>
    <row r="6" spans="1:13" x14ac:dyDescent="0.2">
      <c r="A6" t="s">
        <v>548</v>
      </c>
      <c r="B6" s="313">
        <f>H26</f>
        <v>1523.2</v>
      </c>
      <c r="C6" t="s">
        <v>341</v>
      </c>
      <c r="D6" s="242"/>
      <c r="E6" s="2"/>
      <c r="G6" s="33" t="s">
        <v>549</v>
      </c>
      <c r="H6" s="2" t="s">
        <v>550</v>
      </c>
      <c r="I6" s="2" t="s">
        <v>551</v>
      </c>
      <c r="J6" s="116"/>
    </row>
    <row r="7" spans="1:13" x14ac:dyDescent="0.2">
      <c r="A7" s="41" t="s">
        <v>552</v>
      </c>
      <c r="B7" s="269">
        <v>0.35</v>
      </c>
      <c r="C7" t="s">
        <v>904</v>
      </c>
      <c r="D7" s="242"/>
      <c r="E7" s="2"/>
      <c r="G7" s="33" t="s">
        <v>711</v>
      </c>
      <c r="H7" s="10">
        <f>B7</f>
        <v>0.35</v>
      </c>
      <c r="I7" s="10">
        <f>B7</f>
        <v>0.35</v>
      </c>
      <c r="J7" s="41" t="s">
        <v>904</v>
      </c>
      <c r="K7" s="41" t="s">
        <v>955</v>
      </c>
    </row>
    <row r="8" spans="1:13" x14ac:dyDescent="0.2">
      <c r="A8" s="41" t="s">
        <v>705</v>
      </c>
      <c r="B8" s="269">
        <v>0.315</v>
      </c>
      <c r="C8" t="s">
        <v>904</v>
      </c>
      <c r="D8" s="242"/>
      <c r="E8" s="2"/>
      <c r="G8" s="33" t="s">
        <v>712</v>
      </c>
      <c r="H8" s="10">
        <f>B8</f>
        <v>0.315</v>
      </c>
      <c r="I8" s="10">
        <f>B8</f>
        <v>0.315</v>
      </c>
      <c r="J8" s="41" t="s">
        <v>904</v>
      </c>
      <c r="K8" s="41" t="s">
        <v>957</v>
      </c>
    </row>
    <row r="9" spans="1:13" x14ac:dyDescent="0.2">
      <c r="A9" t="s">
        <v>819</v>
      </c>
      <c r="B9" s="269">
        <v>70</v>
      </c>
      <c r="C9" t="s">
        <v>904</v>
      </c>
      <c r="D9" s="242"/>
      <c r="E9" s="2"/>
      <c r="G9" s="119" t="s">
        <v>811</v>
      </c>
      <c r="H9" s="336">
        <v>1.0658203102720982</v>
      </c>
      <c r="I9" s="336">
        <v>1</v>
      </c>
      <c r="J9" s="316" t="s">
        <v>557</v>
      </c>
      <c r="K9" t="s">
        <v>959</v>
      </c>
    </row>
    <row r="10" spans="1:13" x14ac:dyDescent="0.2">
      <c r="A10" t="s">
        <v>820</v>
      </c>
      <c r="B10" s="347">
        <v>104.08695652173913</v>
      </c>
      <c r="C10" t="s">
        <v>791</v>
      </c>
      <c r="D10" s="242"/>
      <c r="E10" s="2"/>
      <c r="G10" s="33" t="s">
        <v>812</v>
      </c>
      <c r="H10" s="317">
        <f>H7*H9</f>
        <v>0.37303710859523437</v>
      </c>
      <c r="I10" s="317">
        <f>I7*I9</f>
        <v>0.35</v>
      </c>
      <c r="J10" s="316" t="s">
        <v>904</v>
      </c>
    </row>
    <row r="11" spans="1:13" x14ac:dyDescent="0.2">
      <c r="A11" t="s">
        <v>706</v>
      </c>
      <c r="B11" s="269">
        <v>11.5</v>
      </c>
      <c r="C11" t="s">
        <v>818</v>
      </c>
      <c r="D11" s="242"/>
      <c r="E11" s="2"/>
      <c r="G11" s="33" t="s">
        <v>560</v>
      </c>
      <c r="H11" s="19">
        <f>($B$11-0.5*H10)/H10</f>
        <v>30.32803221187876</v>
      </c>
      <c r="I11" s="19">
        <f>($B$11)/I10</f>
        <v>32.857142857142861</v>
      </c>
      <c r="J11" s="241" t="s">
        <v>557</v>
      </c>
      <c r="K11" t="s">
        <v>561</v>
      </c>
    </row>
    <row r="12" spans="1:13" x14ac:dyDescent="0.2">
      <c r="A12" t="s">
        <v>707</v>
      </c>
      <c r="B12" s="346">
        <v>15</v>
      </c>
      <c r="C12" t="s">
        <v>821</v>
      </c>
      <c r="D12" s="242"/>
      <c r="E12" s="2"/>
      <c r="G12" s="33" t="s">
        <v>710</v>
      </c>
      <c r="H12" s="19">
        <f>0.866025*H10</f>
        <v>0.32305946197118784</v>
      </c>
      <c r="I12" s="19">
        <f>I10</f>
        <v>0.35</v>
      </c>
      <c r="J12" s="35" t="s">
        <v>904</v>
      </c>
    </row>
    <row r="13" spans="1:13" ht="13.5" thickBot="1" x14ac:dyDescent="0.25">
      <c r="A13" t="s">
        <v>527</v>
      </c>
      <c r="B13" s="269">
        <v>16</v>
      </c>
      <c r="D13" s="242"/>
      <c r="E13" s="2"/>
      <c r="G13" s="33" t="s">
        <v>709</v>
      </c>
      <c r="H13" s="39">
        <f>0.5*($B$10-$B$9)/H12</f>
        <v>52.756474479579211</v>
      </c>
      <c r="I13" s="39">
        <f>0.5*($B$10-$B$9)/I12</f>
        <v>48.695652173913039</v>
      </c>
      <c r="J13" s="35" t="s">
        <v>557</v>
      </c>
      <c r="K13" s="3" t="s">
        <v>787</v>
      </c>
    </row>
    <row r="14" spans="1:13" ht="13.5" thickBot="1" x14ac:dyDescent="0.25">
      <c r="D14" s="242"/>
      <c r="E14" s="2"/>
      <c r="G14" s="33" t="s">
        <v>708</v>
      </c>
      <c r="H14" s="344">
        <f>H13*H11</f>
        <v>1600.0000574018381</v>
      </c>
      <c r="I14" s="345">
        <f>I13*I11</f>
        <v>1600</v>
      </c>
      <c r="J14" t="s">
        <v>557</v>
      </c>
      <c r="K14" t="s">
        <v>567</v>
      </c>
      <c r="L14">
        <f>(B9+B10)/(2*25.4)</f>
        <v>3.4269085929476208</v>
      </c>
      <c r="M14" t="s">
        <v>835</v>
      </c>
    </row>
    <row r="15" spans="1:13" x14ac:dyDescent="0.2">
      <c r="A15" t="s">
        <v>815</v>
      </c>
      <c r="B15" s="23">
        <f>H12*H13</f>
        <v>17.043478260869563</v>
      </c>
      <c r="C15" s="23">
        <f>I12*I13</f>
        <v>17.043478260869563</v>
      </c>
      <c r="D15" t="s">
        <v>904</v>
      </c>
      <c r="E15" s="2"/>
      <c r="G15" s="33" t="s">
        <v>571</v>
      </c>
      <c r="H15" s="321">
        <f>$B$13*H14</f>
        <v>25600.00091842941</v>
      </c>
      <c r="I15" s="321">
        <f>$B$13*I14</f>
        <v>25600</v>
      </c>
      <c r="J15" t="s">
        <v>557</v>
      </c>
      <c r="K15" t="s">
        <v>572</v>
      </c>
      <c r="L15">
        <f>B11/25.4</f>
        <v>0.45275590551181105</v>
      </c>
      <c r="M15" t="s">
        <v>835</v>
      </c>
    </row>
    <row r="16" spans="1:13" x14ac:dyDescent="0.2">
      <c r="A16" t="s">
        <v>816</v>
      </c>
      <c r="B16" s="23">
        <f>H11*H10</f>
        <v>11.313481445702383</v>
      </c>
      <c r="C16" s="23">
        <f>I11*I10</f>
        <v>11.5</v>
      </c>
      <c r="D16" t="s">
        <v>904</v>
      </c>
      <c r="E16" s="2"/>
      <c r="G16" s="33" t="s">
        <v>573</v>
      </c>
      <c r="H16" s="331">
        <v>78</v>
      </c>
      <c r="I16" s="331">
        <v>78</v>
      </c>
      <c r="J16" t="s">
        <v>557</v>
      </c>
      <c r="K16" s="316" t="s">
        <v>574</v>
      </c>
      <c r="L16">
        <f>(B10-B9)/(2*25.4)</f>
        <v>0.67100308113659701</v>
      </c>
      <c r="M16" t="s">
        <v>835</v>
      </c>
    </row>
    <row r="17" spans="1:13" x14ac:dyDescent="0.2">
      <c r="A17" t="s">
        <v>814</v>
      </c>
      <c r="B17" s="23">
        <f>B16*B15</f>
        <v>192.82107507457971</v>
      </c>
      <c r="C17" s="23">
        <f>C15*C16</f>
        <v>195.99999999999997</v>
      </c>
      <c r="D17" t="s">
        <v>100</v>
      </c>
      <c r="E17" s="2"/>
      <c r="G17" s="33" t="s">
        <v>575</v>
      </c>
      <c r="H17" s="322">
        <f>0.0005*($B$10+$B$9)*PI()*H15</f>
        <v>7000.4521384388727</v>
      </c>
      <c r="I17" s="322">
        <f>0.0005*($B$10+$B$9)*PI()*I15</f>
        <v>7000.4518872896188</v>
      </c>
      <c r="J17" t="s">
        <v>980</v>
      </c>
      <c r="K17" s="35" t="s">
        <v>576</v>
      </c>
      <c r="L17" s="35">
        <f>I14</f>
        <v>1600</v>
      </c>
      <c r="M17" t="s">
        <v>557</v>
      </c>
    </row>
    <row r="18" spans="1:13" x14ac:dyDescent="0.2">
      <c r="A18" t="s">
        <v>817</v>
      </c>
      <c r="B18" s="23">
        <f>H14*H8*H8*PI()/4</f>
        <v>124.68981689436917</v>
      </c>
      <c r="C18" s="23">
        <f>I14*I8*I8*PI()/4</f>
        <v>124.68981242097888</v>
      </c>
      <c r="D18" t="s">
        <v>100</v>
      </c>
      <c r="E18" s="2"/>
      <c r="G18" s="33" t="s">
        <v>703</v>
      </c>
      <c r="H18" s="264">
        <f>$B$27*(H17*10)*((H8)^2*PI()/40000)</f>
        <v>4.8717897634722336</v>
      </c>
      <c r="I18" s="264">
        <f>$B$27*(I17*10)*((I8)^2*PI()/40000)</f>
        <v>4.8717895886911844</v>
      </c>
      <c r="J18" t="s">
        <v>874</v>
      </c>
      <c r="K18" s="35"/>
    </row>
    <row r="19" spans="1:13" x14ac:dyDescent="0.2">
      <c r="D19" s="242"/>
      <c r="E19" s="2"/>
      <c r="G19" s="33" t="s">
        <v>579</v>
      </c>
      <c r="H19" s="319">
        <f>$B$28*H17/(H8*H8*PI()/4)</f>
        <v>1604.3405345148465</v>
      </c>
      <c r="I19" s="319">
        <f>$B$28*I17/(I8*I8*PI()/4)</f>
        <v>1604.3404769572887</v>
      </c>
      <c r="J19" t="s">
        <v>341</v>
      </c>
      <c r="K19" t="s">
        <v>580</v>
      </c>
      <c r="L19">
        <f>(0.2*L14*L14*L17*L17)/(3*L14+9*L15+10*L16)</f>
        <v>285431.5649110261</v>
      </c>
      <c r="M19" t="s">
        <v>1072</v>
      </c>
    </row>
    <row r="20" spans="1:13" x14ac:dyDescent="0.2">
      <c r="A20" t="s">
        <v>823</v>
      </c>
      <c r="B20" s="16">
        <f>B17/(H12*H10)</f>
        <v>1600.0000574018379</v>
      </c>
      <c r="C20" s="16">
        <f>C17/(I10*I12)</f>
        <v>1600</v>
      </c>
      <c r="D20" s="330" t="s">
        <v>822</v>
      </c>
      <c r="E20" s="2"/>
      <c r="G20" s="33" t="s">
        <v>582</v>
      </c>
      <c r="H20" s="264">
        <f>L20</f>
        <v>285.4315649110261</v>
      </c>
      <c r="I20" s="264">
        <f>L20</f>
        <v>285.4315649110261</v>
      </c>
      <c r="J20" t="s">
        <v>995</v>
      </c>
      <c r="K20" s="35" t="s">
        <v>583</v>
      </c>
      <c r="L20" s="264">
        <f>L19/1000</f>
        <v>285.4315649110261</v>
      </c>
      <c r="M20" t="s">
        <v>995</v>
      </c>
    </row>
    <row r="21" spans="1:13" x14ac:dyDescent="0.2">
      <c r="D21" s="242"/>
      <c r="K21" t="s">
        <v>789</v>
      </c>
      <c r="L21" s="356">
        <v>280.89999999999998</v>
      </c>
      <c r="M21" t="s">
        <v>995</v>
      </c>
    </row>
    <row r="22" spans="1:13" x14ac:dyDescent="0.2">
      <c r="D22" s="242"/>
      <c r="K22" s="113" t="s">
        <v>790</v>
      </c>
      <c r="L22" s="238">
        <f>(L20-L21)/L21</f>
        <v>1.6132306554026785E-2</v>
      </c>
    </row>
    <row r="23" spans="1:13" x14ac:dyDescent="0.2">
      <c r="A23" t="s">
        <v>569</v>
      </c>
      <c r="B23" s="320">
        <f>H18/B13</f>
        <v>0.3044868602170146</v>
      </c>
      <c r="C23" t="s">
        <v>570</v>
      </c>
      <c r="D23" s="242"/>
      <c r="E23" s="323" t="s">
        <v>584</v>
      </c>
      <c r="F23" s="324" t="s">
        <v>585</v>
      </c>
      <c r="H23" s="325">
        <f>0.352</f>
        <v>0.35199999999999998</v>
      </c>
      <c r="I23" s="325">
        <v>0.35199999999999998</v>
      </c>
      <c r="J23" t="s">
        <v>874</v>
      </c>
    </row>
    <row r="24" spans="1:13" x14ac:dyDescent="0.2">
      <c r="A24" t="s">
        <v>813</v>
      </c>
      <c r="B24" s="104">
        <f>B23*B13</f>
        <v>4.8717897634722336</v>
      </c>
      <c r="C24" t="s">
        <v>570</v>
      </c>
      <c r="D24" s="242"/>
      <c r="E24" s="2"/>
      <c r="F24" s="324" t="s">
        <v>808</v>
      </c>
      <c r="H24" s="325">
        <v>95.2</v>
      </c>
      <c r="I24" s="325">
        <v>95.2</v>
      </c>
      <c r="J24" t="s">
        <v>341</v>
      </c>
    </row>
    <row r="25" spans="1:13" x14ac:dyDescent="0.2">
      <c r="A25" s="147" t="s">
        <v>702</v>
      </c>
      <c r="B25" s="10">
        <f>B12*B13</f>
        <v>240</v>
      </c>
      <c r="C25" t="s">
        <v>904</v>
      </c>
      <c r="D25" s="242"/>
      <c r="E25" s="2"/>
      <c r="F25" s="324" t="s">
        <v>588</v>
      </c>
      <c r="H25" s="325">
        <v>280.89999999999998</v>
      </c>
      <c r="I25" s="325">
        <v>280.89999999999998</v>
      </c>
      <c r="J25" t="s">
        <v>995</v>
      </c>
      <c r="K25" s="3" t="s">
        <v>788</v>
      </c>
      <c r="L25" s="238"/>
    </row>
    <row r="26" spans="1:13" x14ac:dyDescent="0.2">
      <c r="D26" s="242"/>
      <c r="E26" s="333" t="s">
        <v>809</v>
      </c>
      <c r="F26" s="334">
        <f>B13</f>
        <v>16</v>
      </c>
      <c r="G26" s="333" t="s">
        <v>592</v>
      </c>
      <c r="H26" s="313">
        <f>B13*H24</f>
        <v>1523.2</v>
      </c>
      <c r="I26" s="355">
        <v>1545</v>
      </c>
      <c r="J26" t="s">
        <v>341</v>
      </c>
      <c r="K26" t="s">
        <v>567</v>
      </c>
      <c r="L26">
        <f>(B9+B10)/(2*25.4)</f>
        <v>3.4269085929476208</v>
      </c>
      <c r="M26" t="s">
        <v>835</v>
      </c>
    </row>
    <row r="27" spans="1:13" x14ac:dyDescent="0.2">
      <c r="A27" t="s">
        <v>578</v>
      </c>
      <c r="B27" s="17">
        <v>8.93</v>
      </c>
      <c r="C27" t="s">
        <v>1208</v>
      </c>
      <c r="D27" s="242"/>
      <c r="E27" s="2"/>
      <c r="G27" s="333" t="s">
        <v>590</v>
      </c>
      <c r="H27" s="268">
        <f>(H20-H25)/H25</f>
        <v>1.6132306554026785E-2</v>
      </c>
      <c r="I27" s="268">
        <f>(I20-I25)/I25</f>
        <v>1.6132306554026785E-2</v>
      </c>
      <c r="K27" t="s">
        <v>572</v>
      </c>
      <c r="L27">
        <f>B25/25.4</f>
        <v>9.4488188976377963</v>
      </c>
      <c r="M27" t="s">
        <v>835</v>
      </c>
    </row>
    <row r="28" spans="1:13" x14ac:dyDescent="0.2">
      <c r="A28" t="s">
        <v>704</v>
      </c>
      <c r="B28" s="17">
        <v>1.7860000000000001E-2</v>
      </c>
      <c r="C28" t="s">
        <v>1035</v>
      </c>
      <c r="D28" s="242"/>
      <c r="E28" s="2"/>
      <c r="G28" s="333" t="s">
        <v>807</v>
      </c>
      <c r="H28" s="268">
        <f>(H19-H26)/H26</f>
        <v>5.3269783688843497E-2</v>
      </c>
      <c r="I28" s="268">
        <f>(I19-I26)/I26</f>
        <v>3.8408075700510504E-2</v>
      </c>
      <c r="K28" s="316" t="s">
        <v>574</v>
      </c>
      <c r="L28">
        <f>(B10-B9)/(2*25.4)</f>
        <v>0.67100308113659701</v>
      </c>
      <c r="M28" t="s">
        <v>835</v>
      </c>
    </row>
    <row r="29" spans="1:13" x14ac:dyDescent="0.2">
      <c r="D29" s="242"/>
      <c r="E29" s="2"/>
      <c r="K29" s="35" t="s">
        <v>576</v>
      </c>
      <c r="L29" s="35">
        <f>I15</f>
        <v>25600</v>
      </c>
      <c r="M29" t="s">
        <v>557</v>
      </c>
    </row>
    <row r="30" spans="1:13" x14ac:dyDescent="0.2">
      <c r="A30" s="326"/>
      <c r="B30" s="3"/>
      <c r="D30" s="242"/>
      <c r="E30" s="2"/>
      <c r="G30" s="33"/>
      <c r="K30" s="35"/>
    </row>
    <row r="31" spans="1:13" x14ac:dyDescent="0.2">
      <c r="A31" s="41" t="s">
        <v>552</v>
      </c>
      <c r="B31" s="269">
        <v>0.3</v>
      </c>
      <c r="C31" t="s">
        <v>716</v>
      </c>
      <c r="D31" s="349">
        <v>91.758685359614788</v>
      </c>
      <c r="E31" s="350" t="s">
        <v>904</v>
      </c>
      <c r="F31" s="350" t="s">
        <v>718</v>
      </c>
      <c r="G31" s="33"/>
      <c r="K31" t="s">
        <v>580</v>
      </c>
      <c r="L31">
        <f>(0.2*L26*L26*L29*L29)/(3*L26+9*L27+10*L28)</f>
        <v>15086432.065829795</v>
      </c>
      <c r="M31" t="s">
        <v>1072</v>
      </c>
    </row>
    <row r="32" spans="1:13" x14ac:dyDescent="0.2">
      <c r="A32" s="41" t="s">
        <v>552</v>
      </c>
      <c r="B32" s="269">
        <v>0.36</v>
      </c>
      <c r="C32" t="s">
        <v>716</v>
      </c>
      <c r="D32" s="347">
        <v>104.11761864387599</v>
      </c>
      <c r="E32" s="350" t="s">
        <v>904</v>
      </c>
      <c r="F32" s="351" t="s">
        <v>717</v>
      </c>
      <c r="G32" s="80"/>
      <c r="H32" s="249"/>
      <c r="I32" s="80"/>
      <c r="K32" s="35" t="s">
        <v>583</v>
      </c>
      <c r="L32" s="264">
        <f>L31/1000000</f>
        <v>15.086432065829795</v>
      </c>
      <c r="M32" t="s">
        <v>898</v>
      </c>
    </row>
    <row r="33" spans="1:14" x14ac:dyDescent="0.2">
      <c r="A33" s="41" t="s">
        <v>552</v>
      </c>
      <c r="B33" s="269">
        <v>0.185</v>
      </c>
      <c r="C33" t="s">
        <v>716</v>
      </c>
      <c r="D33" s="347">
        <v>83.514762709336296</v>
      </c>
      <c r="E33" s="350" t="s">
        <v>904</v>
      </c>
      <c r="F33" s="351" t="s">
        <v>736</v>
      </c>
      <c r="G33" s="116"/>
      <c r="H33" s="2"/>
      <c r="I33" s="116"/>
      <c r="K33" t="s">
        <v>789</v>
      </c>
      <c r="L33" s="325">
        <v>15.15</v>
      </c>
      <c r="M33" t="s">
        <v>898</v>
      </c>
    </row>
    <row r="34" spans="1:14" x14ac:dyDescent="0.2">
      <c r="A34" s="328"/>
      <c r="B34" s="116"/>
      <c r="C34" s="116"/>
      <c r="D34" s="283"/>
      <c r="E34" s="116"/>
      <c r="F34" s="242"/>
      <c r="G34" s="242"/>
      <c r="H34" s="289"/>
      <c r="I34" s="116"/>
      <c r="K34" s="113" t="s">
        <v>790</v>
      </c>
      <c r="L34" s="238">
        <f>(L32-L33)/L33</f>
        <v>-4.1959032455580938E-3</v>
      </c>
    </row>
    <row r="35" spans="1:14" x14ac:dyDescent="0.2">
      <c r="A35" s="18"/>
      <c r="B35" s="116"/>
      <c r="C35" s="116"/>
      <c r="D35" s="283"/>
      <c r="E35" s="116"/>
      <c r="F35" s="242"/>
      <c r="G35" s="242"/>
      <c r="H35" s="289"/>
      <c r="I35" s="116"/>
    </row>
    <row r="36" spans="1:14" x14ac:dyDescent="0.2">
      <c r="A36" s="358" t="s">
        <v>795</v>
      </c>
      <c r="B36" s="116"/>
      <c r="C36" s="283"/>
      <c r="E36" s="116"/>
      <c r="F36" s="242"/>
      <c r="G36" s="242"/>
      <c r="H36" s="289"/>
      <c r="I36" s="116"/>
      <c r="K36" t="s">
        <v>744</v>
      </c>
    </row>
    <row r="37" spans="1:14" x14ac:dyDescent="0.2">
      <c r="A37" s="85" t="s">
        <v>796</v>
      </c>
      <c r="B37" s="116">
        <v>1.65</v>
      </c>
      <c r="C37" s="357" t="s">
        <v>1203</v>
      </c>
      <c r="E37" s="116"/>
      <c r="F37" s="242"/>
      <c r="G37" s="242"/>
      <c r="H37" s="289"/>
      <c r="I37" s="116"/>
      <c r="K37" t="s">
        <v>789</v>
      </c>
      <c r="L37" s="355">
        <v>111.9</v>
      </c>
      <c r="M37" t="s">
        <v>738</v>
      </c>
      <c r="N37" t="s">
        <v>742</v>
      </c>
    </row>
    <row r="38" spans="1:14" x14ac:dyDescent="0.2">
      <c r="A38" s="85" t="s">
        <v>797</v>
      </c>
      <c r="B38" s="116">
        <v>1.04</v>
      </c>
      <c r="C38" s="357" t="s">
        <v>1203</v>
      </c>
      <c r="E38" s="116"/>
      <c r="F38" s="242"/>
      <c r="G38" s="242"/>
      <c r="H38" s="289"/>
      <c r="I38" s="116"/>
      <c r="K38" t="s">
        <v>789</v>
      </c>
      <c r="L38" s="355">
        <v>126.6</v>
      </c>
      <c r="M38" t="s">
        <v>739</v>
      </c>
      <c r="N38" t="s">
        <v>743</v>
      </c>
    </row>
    <row r="39" spans="1:14" x14ac:dyDescent="0.2">
      <c r="A39" s="85" t="s">
        <v>798</v>
      </c>
      <c r="B39" s="116">
        <v>2.4</v>
      </c>
      <c r="C39" s="357" t="s">
        <v>1203</v>
      </c>
      <c r="E39" s="116"/>
      <c r="F39" s="242"/>
      <c r="G39" s="242"/>
      <c r="H39" s="289"/>
      <c r="I39" s="116"/>
    </row>
    <row r="40" spans="1:14" x14ac:dyDescent="0.2">
      <c r="A40" s="33" t="s">
        <v>799</v>
      </c>
      <c r="B40" s="2">
        <v>0.3</v>
      </c>
      <c r="C40" s="357" t="s">
        <v>1203</v>
      </c>
      <c r="E40" s="2"/>
    </row>
    <row r="41" spans="1:14" x14ac:dyDescent="0.2">
      <c r="A41" s="33" t="s">
        <v>800</v>
      </c>
      <c r="B41" s="2">
        <v>0.03</v>
      </c>
      <c r="C41" s="41" t="s">
        <v>1203</v>
      </c>
      <c r="D41" s="242"/>
      <c r="E41" s="2"/>
    </row>
    <row r="42" spans="1:14" x14ac:dyDescent="0.2">
      <c r="B42" s="3"/>
      <c r="D42" s="242"/>
      <c r="E42" s="2"/>
    </row>
    <row r="43" spans="1:14" ht="14.25" x14ac:dyDescent="0.2">
      <c r="A43" s="33" t="s">
        <v>801</v>
      </c>
      <c r="B43">
        <f>((B37*B37-B38*B38)*PI()/4)*B39</f>
        <v>3.0930236311652939</v>
      </c>
      <c r="C43" t="s">
        <v>1101</v>
      </c>
      <c r="D43" s="242"/>
      <c r="E43" s="2"/>
    </row>
    <row r="44" spans="1:14" ht="14.25" x14ac:dyDescent="0.2">
      <c r="A44" s="33" t="s">
        <v>802</v>
      </c>
      <c r="B44" s="2">
        <f>B40*B37*B37*PI()/4</f>
        <v>0.64147394995486573</v>
      </c>
      <c r="C44" t="s">
        <v>1101</v>
      </c>
      <c r="D44" s="242"/>
      <c r="E44" s="2"/>
    </row>
    <row r="45" spans="1:14" ht="14.25" x14ac:dyDescent="0.2">
      <c r="A45" s="33" t="s">
        <v>803</v>
      </c>
      <c r="B45" s="359">
        <f>B41*B37*B37*PI()/4</f>
        <v>6.4147394995486579E-2</v>
      </c>
      <c r="C45" t="s">
        <v>1101</v>
      </c>
      <c r="D45" s="329"/>
      <c r="E45" s="2"/>
    </row>
    <row r="46" spans="1:14" ht="14.25" x14ac:dyDescent="0.2">
      <c r="A46" s="33" t="s">
        <v>804</v>
      </c>
      <c r="B46" s="2">
        <f>SUM(B43:B45)</f>
        <v>3.7986449761156464</v>
      </c>
      <c r="C46" t="s">
        <v>1101</v>
      </c>
      <c r="D46" s="242"/>
      <c r="E46" s="2"/>
    </row>
    <row r="47" spans="1:14" ht="14.25" x14ac:dyDescent="0.2">
      <c r="A47" s="33" t="s">
        <v>806</v>
      </c>
      <c r="B47">
        <v>0.8</v>
      </c>
      <c r="C47" t="s">
        <v>1099</v>
      </c>
      <c r="D47" s="330"/>
      <c r="E47" s="2"/>
    </row>
    <row r="48" spans="1:14" x14ac:dyDescent="0.2">
      <c r="A48" s="33" t="s">
        <v>805</v>
      </c>
      <c r="B48" s="2">
        <f>B47*B46</f>
        <v>3.0389159808925172</v>
      </c>
      <c r="C48" s="41" t="s">
        <v>874</v>
      </c>
      <c r="D48" s="330"/>
      <c r="E48" s="2"/>
    </row>
    <row r="49" spans="2:5" x14ac:dyDescent="0.2">
      <c r="B49" s="2"/>
      <c r="C49" s="2"/>
      <c r="D49" s="330"/>
      <c r="E49" s="2"/>
    </row>
    <row r="50" spans="2:5" x14ac:dyDescent="0.2">
      <c r="B50" s="2"/>
      <c r="C50" s="2"/>
      <c r="D50" s="330"/>
      <c r="E50" s="2"/>
    </row>
    <row r="51" spans="2:5" x14ac:dyDescent="0.2">
      <c r="B51" s="2"/>
      <c r="C51" s="2"/>
      <c r="D51" s="242"/>
      <c r="E51" s="2"/>
    </row>
    <row r="52" spans="2:5" x14ac:dyDescent="0.2">
      <c r="B52" s="2"/>
      <c r="C52" s="2"/>
      <c r="D52" s="242"/>
      <c r="E52" s="2"/>
    </row>
    <row r="53" spans="2:5" x14ac:dyDescent="0.2">
      <c r="B53" s="2"/>
      <c r="C53" s="2"/>
      <c r="D53" s="242"/>
      <c r="E53" s="2"/>
    </row>
  </sheetData>
  <phoneticPr fontId="0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  <pageSetUpPr fitToPage="1"/>
  </sheetPr>
  <dimension ref="A1:AG254"/>
  <sheetViews>
    <sheetView workbookViewId="0"/>
  </sheetViews>
  <sheetFormatPr baseColWidth="10" defaultColWidth="9.140625" defaultRowHeight="12.75" x14ac:dyDescent="0.2"/>
  <cols>
    <col min="1" max="1" width="25.28515625" customWidth="1"/>
    <col min="2" max="2" width="11" customWidth="1"/>
    <col min="3" max="3" width="5" customWidth="1"/>
    <col min="4" max="4" width="20.5703125" customWidth="1"/>
    <col min="5" max="11" width="11.42578125" customWidth="1"/>
    <col min="12" max="14" width="9.140625" customWidth="1"/>
    <col min="15" max="15" width="12.42578125" bestFit="1" customWidth="1"/>
  </cols>
  <sheetData>
    <row r="1" spans="1:33" ht="20.25" x14ac:dyDescent="0.3">
      <c r="A1" s="46" t="s">
        <v>239</v>
      </c>
      <c r="J1" s="241"/>
      <c r="K1" s="241"/>
      <c r="L1" s="241"/>
      <c r="R1" s="237"/>
    </row>
    <row r="2" spans="1:33" ht="15" customHeight="1" x14ac:dyDescent="0.2">
      <c r="J2" s="241"/>
      <c r="L2" s="241"/>
      <c r="R2" s="254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33" x14ac:dyDescent="0.2">
      <c r="B3" s="33" t="s">
        <v>200</v>
      </c>
      <c r="E3" s="2" t="s">
        <v>199</v>
      </c>
      <c r="H3" t="s">
        <v>201</v>
      </c>
      <c r="L3" s="241"/>
    </row>
    <row r="4" spans="1:33" ht="15.75" customHeight="1" x14ac:dyDescent="0.2">
      <c r="A4" s="33" t="s">
        <v>202</v>
      </c>
      <c r="B4" s="17">
        <v>28.8</v>
      </c>
      <c r="C4" t="s">
        <v>837</v>
      </c>
      <c r="D4" s="33"/>
      <c r="E4" s="10">
        <f>B4</f>
        <v>28.8</v>
      </c>
      <c r="F4" t="s">
        <v>837</v>
      </c>
      <c r="H4" s="41" t="s">
        <v>727</v>
      </c>
      <c r="J4" s="10">
        <f>E24/E23</f>
        <v>6.7048779171009487E-3</v>
      </c>
      <c r="K4" t="s">
        <v>215</v>
      </c>
      <c r="L4" s="241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33" ht="15.75" customHeight="1" x14ac:dyDescent="0.35">
      <c r="A5" s="33" t="s">
        <v>353</v>
      </c>
      <c r="B5" s="17">
        <v>8</v>
      </c>
      <c r="C5" t="s">
        <v>895</v>
      </c>
      <c r="D5" s="41" t="s">
        <v>596</v>
      </c>
      <c r="E5" s="10">
        <f>B5</f>
        <v>8</v>
      </c>
      <c r="F5" t="s">
        <v>895</v>
      </c>
      <c r="I5" s="352" t="s">
        <v>725</v>
      </c>
      <c r="J5" s="19">
        <f>1000*J4</f>
        <v>6.7048779171009487</v>
      </c>
      <c r="K5" t="s">
        <v>726</v>
      </c>
      <c r="L5" s="241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</row>
    <row r="6" spans="1:33" ht="15.75" customHeight="1" x14ac:dyDescent="0.35">
      <c r="A6" s="33" t="s">
        <v>597</v>
      </c>
      <c r="B6" s="23">
        <f>B4/E23</f>
        <v>19.509242372000987</v>
      </c>
      <c r="C6" t="s">
        <v>595</v>
      </c>
      <c r="D6" s="88" t="s">
        <v>722</v>
      </c>
      <c r="E6" s="23">
        <f>B6</f>
        <v>19.509242372000987</v>
      </c>
      <c r="F6" t="s">
        <v>895</v>
      </c>
      <c r="H6" s="41" t="s">
        <v>354</v>
      </c>
      <c r="J6" s="19">
        <f>1000*((-LN(B33-B5)+LN(B33))*J4-((-LN(B33-B32)+LN(B33))*J4))</f>
        <v>3.5384183524284802</v>
      </c>
      <c r="K6" s="18" t="s">
        <v>130</v>
      </c>
      <c r="L6" s="241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</row>
    <row r="7" spans="1:33" ht="15.75" customHeight="1" x14ac:dyDescent="0.2">
      <c r="A7" s="33"/>
      <c r="B7" s="18"/>
      <c r="C7" s="18"/>
      <c r="D7" s="85"/>
      <c r="E7" s="18"/>
      <c r="L7" s="241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</row>
    <row r="8" spans="1:33" ht="15.75" customHeight="1" x14ac:dyDescent="0.3">
      <c r="A8" s="33" t="s">
        <v>365</v>
      </c>
      <c r="B8" s="17">
        <v>1.2212000000000001</v>
      </c>
      <c r="C8" t="s">
        <v>965</v>
      </c>
      <c r="E8" s="10">
        <f>B8</f>
        <v>1.2212000000000001</v>
      </c>
      <c r="F8" t="s">
        <v>965</v>
      </c>
      <c r="L8" s="241"/>
      <c r="R8" s="263" t="s">
        <v>601</v>
      </c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</row>
    <row r="9" spans="1:33" ht="15.75" customHeight="1" x14ac:dyDescent="0.3">
      <c r="A9" s="33" t="s">
        <v>366</v>
      </c>
      <c r="B9" s="17">
        <v>11.1</v>
      </c>
      <c r="C9" t="s">
        <v>995</v>
      </c>
      <c r="E9" s="10">
        <f>0.001*B9</f>
        <v>1.11E-2</v>
      </c>
      <c r="F9" t="s">
        <v>898</v>
      </c>
      <c r="L9" s="241"/>
      <c r="R9" s="263" t="s">
        <v>602</v>
      </c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</row>
    <row r="10" spans="1:33" ht="15.75" customHeight="1" x14ac:dyDescent="0.3">
      <c r="A10" s="33" t="s">
        <v>367</v>
      </c>
      <c r="B10" s="17">
        <v>3</v>
      </c>
      <c r="C10" t="s">
        <v>1160</v>
      </c>
      <c r="E10" s="257">
        <f>0.000001*B10</f>
        <v>3.0000000000000001E-6</v>
      </c>
      <c r="F10" t="s">
        <v>212</v>
      </c>
      <c r="L10" s="241"/>
      <c r="R10" s="339" t="s">
        <v>380</v>
      </c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</row>
    <row r="11" spans="1:33" ht="15.75" customHeight="1" x14ac:dyDescent="0.2">
      <c r="A11" s="33"/>
      <c r="B11" s="18"/>
      <c r="C11" s="18"/>
      <c r="E11" s="256"/>
      <c r="H11" s="237" t="s">
        <v>257</v>
      </c>
      <c r="L11" s="241"/>
      <c r="R11" s="340" t="s">
        <v>377</v>
      </c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</row>
    <row r="12" spans="1:33" ht="15.75" customHeight="1" x14ac:dyDescent="0.3">
      <c r="A12" s="33" t="s">
        <v>368</v>
      </c>
      <c r="B12" s="17">
        <v>1740</v>
      </c>
      <c r="C12" t="s">
        <v>965</v>
      </c>
      <c r="E12" s="10">
        <f>B12</f>
        <v>1740</v>
      </c>
      <c r="F12" t="s">
        <v>965</v>
      </c>
      <c r="H12" s="254" t="s">
        <v>243</v>
      </c>
      <c r="L12" s="253" t="s">
        <v>250</v>
      </c>
      <c r="R12" s="341" t="s">
        <v>845</v>
      </c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</row>
    <row r="13" spans="1:33" ht="15.75" customHeight="1" x14ac:dyDescent="0.3">
      <c r="A13" s="33" t="s">
        <v>369</v>
      </c>
      <c r="B13" s="17">
        <v>79.3</v>
      </c>
      <c r="C13" t="s">
        <v>898</v>
      </c>
      <c r="D13" s="85"/>
      <c r="E13" s="10">
        <f>B13</f>
        <v>79.3</v>
      </c>
      <c r="F13" t="s">
        <v>898</v>
      </c>
      <c r="H13" t="s">
        <v>269</v>
      </c>
      <c r="I13" s="260">
        <f>1/(2*PI()*SQRT(E9*(1-B21*B21)*E10))</f>
        <v>2650.2618145283218</v>
      </c>
      <c r="J13" t="s">
        <v>265</v>
      </c>
      <c r="L13" s="253" t="s">
        <v>255</v>
      </c>
      <c r="R13" s="342">
        <v>0.10168117593888058</v>
      </c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</row>
    <row r="14" spans="1:33" ht="15.75" customHeight="1" x14ac:dyDescent="0.3">
      <c r="A14" s="33" t="s">
        <v>370</v>
      </c>
      <c r="B14" s="17">
        <v>40</v>
      </c>
      <c r="C14" t="s">
        <v>260</v>
      </c>
      <c r="D14" s="85"/>
      <c r="E14" s="272">
        <f>B14*0.000000000001</f>
        <v>3.9999999999999998E-11</v>
      </c>
      <c r="F14" t="s">
        <v>212</v>
      </c>
      <c r="H14" t="s">
        <v>267</v>
      </c>
      <c r="I14" s="261">
        <f>1000/I13</f>
        <v>0.37732121200937807</v>
      </c>
      <c r="J14" t="s">
        <v>266</v>
      </c>
      <c r="L14" s="253" t="s">
        <v>251</v>
      </c>
      <c r="R14" s="342">
        <v>-0.10298422903794459</v>
      </c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</row>
    <row r="15" spans="1:33" ht="15.75" customHeight="1" x14ac:dyDescent="0.3">
      <c r="A15" s="33"/>
      <c r="B15" s="18"/>
      <c r="C15" s="18"/>
      <c r="D15" s="85"/>
      <c r="E15" s="31"/>
      <c r="H15" t="s">
        <v>362</v>
      </c>
      <c r="I15" s="271">
        <f>E9-I24</f>
        <v>1.2021023610000008E-3</v>
      </c>
      <c r="J15" t="s">
        <v>898</v>
      </c>
      <c r="L15" s="253" t="s">
        <v>254</v>
      </c>
      <c r="R15" s="342">
        <v>11.60983286832051</v>
      </c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</row>
    <row r="16" spans="1:33" ht="15.75" customHeight="1" x14ac:dyDescent="0.2">
      <c r="A16" s="33" t="s">
        <v>358</v>
      </c>
      <c r="B16" s="269">
        <v>10</v>
      </c>
      <c r="C16" t="s">
        <v>834</v>
      </c>
      <c r="D16" s="41" t="s">
        <v>724</v>
      </c>
      <c r="E16" s="29">
        <f>B16/100</f>
        <v>0.1</v>
      </c>
      <c r="F16" t="s">
        <v>980</v>
      </c>
      <c r="L16" s="253" t="s">
        <v>256</v>
      </c>
      <c r="R16" s="342">
        <v>2.2002776709666754E-2</v>
      </c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</row>
    <row r="17" spans="1:33" ht="15.75" customHeight="1" x14ac:dyDescent="0.3">
      <c r="A17" s="85" t="s">
        <v>359</v>
      </c>
      <c r="B17" s="270">
        <f>1000*($R$13+$R$15*B16+$R$17*B16^2+$R$19*B16^3+$R$21*B16^4+$R$23*B16^5)/(1+$R$14*B16+$R$16*B16^2+$R$18*B16^3+$R$20*B16^4+$R$22*B16^5)</f>
        <v>75254.920284100866</v>
      </c>
      <c r="C17" t="s">
        <v>837</v>
      </c>
      <c r="D17" s="41" t="s">
        <v>723</v>
      </c>
      <c r="E17" s="16">
        <f>B17</f>
        <v>75254.920284100866</v>
      </c>
      <c r="F17" t="s">
        <v>837</v>
      </c>
      <c r="H17" s="33" t="s">
        <v>364</v>
      </c>
      <c r="I17" s="29">
        <f>B21*B21*B12/($B$20*$B$20)</f>
        <v>0.25502339457593687</v>
      </c>
      <c r="J17" t="s">
        <v>965</v>
      </c>
      <c r="L17" s="241"/>
      <c r="R17" s="342">
        <v>-1.1136954486547923</v>
      </c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</row>
    <row r="18" spans="1:33" ht="15.75" customHeight="1" x14ac:dyDescent="0.3">
      <c r="A18" s="85" t="s">
        <v>360</v>
      </c>
      <c r="B18" s="17">
        <v>50</v>
      </c>
      <c r="C18" t="s">
        <v>361</v>
      </c>
      <c r="D18" s="33"/>
      <c r="E18" s="29">
        <f>1000*B18</f>
        <v>50000</v>
      </c>
      <c r="F18" t="s">
        <v>965</v>
      </c>
      <c r="H18" s="33" t="s">
        <v>363</v>
      </c>
      <c r="I18" s="10">
        <f>B21*B21*E18/(B20*B20)</f>
        <v>7.3282584648257725</v>
      </c>
      <c r="J18" t="s">
        <v>965</v>
      </c>
      <c r="L18" s="241"/>
      <c r="R18" s="342">
        <v>-1.3154143255757434E-3</v>
      </c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</row>
    <row r="19" spans="1:33" ht="15.75" customHeight="1" x14ac:dyDescent="0.2">
      <c r="A19" s="33"/>
      <c r="B19" s="18"/>
      <c r="C19" s="18"/>
      <c r="D19" s="85"/>
      <c r="E19" s="255"/>
      <c r="L19" s="241"/>
      <c r="R19" s="342">
        <v>0.13947545251861668</v>
      </c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</row>
    <row r="20" spans="1:33" ht="15.75" customHeight="1" x14ac:dyDescent="0.3">
      <c r="A20" s="33" t="s">
        <v>261</v>
      </c>
      <c r="B20" s="17">
        <v>78</v>
      </c>
      <c r="C20" s="18" t="s">
        <v>721</v>
      </c>
      <c r="D20" s="85"/>
      <c r="E20" s="273" t="s">
        <v>378</v>
      </c>
      <c r="F20" s="273" t="s">
        <v>378</v>
      </c>
      <c r="H20" s="237" t="s">
        <v>258</v>
      </c>
      <c r="L20" s="241"/>
      <c r="R20" s="342">
        <v>2.2555679105447939E-5</v>
      </c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</row>
    <row r="21" spans="1:33" ht="15.75" customHeight="1" x14ac:dyDescent="0.3">
      <c r="A21" s="33" t="s">
        <v>262</v>
      </c>
      <c r="B21" s="17">
        <v>0.94430000000000003</v>
      </c>
      <c r="C21" s="18"/>
      <c r="D21" s="85"/>
      <c r="E21" s="273" t="s">
        <v>377</v>
      </c>
      <c r="F21" s="273" t="s">
        <v>377</v>
      </c>
      <c r="H21" s="254" t="s">
        <v>244</v>
      </c>
      <c r="L21" s="253" t="s">
        <v>250</v>
      </c>
      <c r="R21" s="342">
        <v>-7.5887149573464346E-3</v>
      </c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</row>
    <row r="22" spans="1:33" ht="15.75" customHeight="1" x14ac:dyDescent="0.3">
      <c r="E22" s="275" t="s">
        <v>383</v>
      </c>
      <c r="F22" s="275" t="s">
        <v>384</v>
      </c>
      <c r="H22" s="41" t="s">
        <v>270</v>
      </c>
      <c r="I22" s="260">
        <f>1/(2*PI()*SQRT(I24*(I25)))</f>
        <v>884.26251230356286</v>
      </c>
      <c r="J22" t="s">
        <v>265</v>
      </c>
      <c r="L22" s="253" t="s">
        <v>251</v>
      </c>
      <c r="R22" s="342">
        <v>9.0100227568697605E-9</v>
      </c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</row>
    <row r="23" spans="1:33" ht="15.75" customHeight="1" x14ac:dyDescent="0.3">
      <c r="A23" s="33" t="s">
        <v>206</v>
      </c>
      <c r="B23" s="19">
        <f>B8+I17</f>
        <v>1.4762233945759369</v>
      </c>
      <c r="C23" t="s">
        <v>965</v>
      </c>
      <c r="D23" s="33" t="s">
        <v>206</v>
      </c>
      <c r="E23" s="10">
        <f>B23</f>
        <v>1.4762233945759369</v>
      </c>
      <c r="F23" s="10">
        <f>E23+I18</f>
        <v>8.8044818594017098</v>
      </c>
      <c r="G23" t="s">
        <v>965</v>
      </c>
      <c r="H23" t="s">
        <v>267</v>
      </c>
      <c r="I23" s="100">
        <f>1000/I22</f>
        <v>1.1308858920129197</v>
      </c>
      <c r="J23" t="s">
        <v>266</v>
      </c>
      <c r="L23" s="253" t="s">
        <v>245</v>
      </c>
      <c r="R23" s="343">
        <v>1.2967836582075207E-4</v>
      </c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</row>
    <row r="24" spans="1:33" ht="15.75" customHeight="1" x14ac:dyDescent="0.3">
      <c r="A24" s="33" t="s">
        <v>209</v>
      </c>
      <c r="B24" s="19">
        <f>1000*E24</f>
        <v>9.897897639</v>
      </c>
      <c r="C24" t="s">
        <v>995</v>
      </c>
      <c r="D24" s="33" t="s">
        <v>209</v>
      </c>
      <c r="E24" s="10">
        <f>I24</f>
        <v>9.8978976389999997E-3</v>
      </c>
      <c r="F24" s="10">
        <f>I15</f>
        <v>1.2021023610000008E-3</v>
      </c>
      <c r="G24" t="s">
        <v>898</v>
      </c>
      <c r="H24" t="s">
        <v>268</v>
      </c>
      <c r="I24" s="262">
        <f>$B$21*$B$21*E9</f>
        <v>9.8978976389999997E-3</v>
      </c>
      <c r="J24" t="s">
        <v>898</v>
      </c>
      <c r="L24" s="253" t="s">
        <v>246</v>
      </c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</row>
    <row r="25" spans="1:33" ht="15.75" customHeight="1" x14ac:dyDescent="0.3">
      <c r="A25" s="33" t="s">
        <v>211</v>
      </c>
      <c r="B25" s="19">
        <f>E25*1000000</f>
        <v>3.2729161382065897</v>
      </c>
      <c r="C25" t="s">
        <v>1160</v>
      </c>
      <c r="D25" s="33" t="s">
        <v>211</v>
      </c>
      <c r="E25" s="257">
        <f>I25</f>
        <v>3.2729161382065896E-6</v>
      </c>
      <c r="F25" s="10">
        <f>B10*0.000001</f>
        <v>3.0000000000000001E-6</v>
      </c>
      <c r="G25" t="s">
        <v>212</v>
      </c>
      <c r="H25" s="33" t="s">
        <v>352</v>
      </c>
      <c r="I25" s="262">
        <f>(E10+B14*($B$20*$B$20)*0.000000000001/($B$21*$B$21))</f>
        <v>3.2729161382065896E-6</v>
      </c>
      <c r="J25" t="s">
        <v>212</v>
      </c>
      <c r="L25" s="253" t="s">
        <v>252</v>
      </c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</row>
    <row r="26" spans="1:33" ht="15.75" customHeight="1" x14ac:dyDescent="0.3">
      <c r="A26" s="33"/>
      <c r="B26" s="18"/>
      <c r="C26" s="18"/>
      <c r="D26" s="85"/>
      <c r="E26" s="255"/>
      <c r="L26" s="253" t="s">
        <v>247</v>
      </c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</row>
    <row r="27" spans="1:33" ht="15.75" customHeight="1" x14ac:dyDescent="0.3">
      <c r="A27" s="33"/>
      <c r="B27" s="18"/>
      <c r="C27" s="18"/>
      <c r="D27" s="85"/>
      <c r="E27" s="255"/>
      <c r="L27" s="253" t="s">
        <v>253</v>
      </c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</row>
    <row r="28" spans="1:33" ht="15.75" customHeight="1" x14ac:dyDescent="0.3">
      <c r="A28" s="33"/>
      <c r="B28" s="18"/>
      <c r="C28" s="18"/>
      <c r="D28" s="116" t="s">
        <v>356</v>
      </c>
      <c r="E28" s="116" t="s">
        <v>357</v>
      </c>
      <c r="L28" s="253" t="s">
        <v>248</v>
      </c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</row>
    <row r="29" spans="1:33" ht="15.75" customHeight="1" x14ac:dyDescent="0.2">
      <c r="A29" s="33"/>
      <c r="B29" s="18"/>
      <c r="C29" s="18"/>
      <c r="D29" s="85"/>
      <c r="E29" s="255"/>
      <c r="L29" s="253" t="s">
        <v>249</v>
      </c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</row>
    <row r="30" spans="1:33" ht="15.75" customHeight="1" x14ac:dyDescent="0.2">
      <c r="A30" s="33"/>
      <c r="B30" s="18"/>
      <c r="C30" s="18"/>
      <c r="D30" s="85"/>
      <c r="E30" s="255"/>
      <c r="K30" s="241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</row>
    <row r="31" spans="1:33" ht="15.75" customHeight="1" x14ac:dyDescent="0.3">
      <c r="E31" t="s">
        <v>376</v>
      </c>
      <c r="I31" s="241"/>
      <c r="K31" s="241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</row>
    <row r="32" spans="1:33" ht="15.75" customHeight="1" x14ac:dyDescent="0.35">
      <c r="A32" s="33" t="s">
        <v>241</v>
      </c>
      <c r="B32" s="17">
        <v>0</v>
      </c>
      <c r="I32" s="258" t="s">
        <v>600</v>
      </c>
      <c r="J32" s="10"/>
      <c r="K32" s="241"/>
    </row>
    <row r="33" spans="1:33" ht="21" x14ac:dyDescent="0.35">
      <c r="A33" s="33" t="s">
        <v>598</v>
      </c>
      <c r="B33" s="23">
        <f>B6</f>
        <v>19.509242372000987</v>
      </c>
      <c r="C33" t="s">
        <v>895</v>
      </c>
      <c r="H33" s="249" t="s">
        <v>233</v>
      </c>
      <c r="I33" s="259" t="s">
        <v>878</v>
      </c>
      <c r="J33" s="250" t="s">
        <v>234</v>
      </c>
      <c r="K33" s="250" t="s">
        <v>235</v>
      </c>
      <c r="P33" s="249" t="s">
        <v>233</v>
      </c>
      <c r="Q33" s="250" t="s">
        <v>878</v>
      </c>
      <c r="R33" s="250" t="s">
        <v>234</v>
      </c>
      <c r="S33" s="250" t="s">
        <v>235</v>
      </c>
      <c r="T33" s="250" t="s">
        <v>686</v>
      </c>
    </row>
    <row r="34" spans="1:33" ht="15.75" customHeight="1" x14ac:dyDescent="0.3">
      <c r="A34" s="33" t="s">
        <v>355</v>
      </c>
      <c r="B34" s="274">
        <f>0.001*J6/26</f>
        <v>1.3609301355494154E-4</v>
      </c>
      <c r="C34" t="s">
        <v>215</v>
      </c>
      <c r="D34" s="2" t="s">
        <v>371</v>
      </c>
      <c r="E34" t="s">
        <v>372</v>
      </c>
      <c r="H34" s="2" t="s">
        <v>236</v>
      </c>
      <c r="I34" s="242" t="s">
        <v>237</v>
      </c>
      <c r="J34" s="242" t="s">
        <v>238</v>
      </c>
      <c r="K34" s="242" t="s">
        <v>238</v>
      </c>
      <c r="P34" s="2" t="s">
        <v>242</v>
      </c>
      <c r="Q34" s="242" t="s">
        <v>237</v>
      </c>
      <c r="R34" s="242" t="s">
        <v>238</v>
      </c>
      <c r="S34" s="242" t="s">
        <v>238</v>
      </c>
    </row>
    <row r="35" spans="1:33" ht="15.75" customHeight="1" x14ac:dyDescent="0.2">
      <c r="A35" s="33" t="s">
        <v>264</v>
      </c>
      <c r="B35" s="268">
        <f>B34/J4</f>
        <v>2.029761246030045E-2</v>
      </c>
      <c r="H35" s="2">
        <v>0</v>
      </c>
      <c r="I35" s="241">
        <f>B32</f>
        <v>0</v>
      </c>
      <c r="J35" s="241">
        <f t="shared" ref="J35:J61" si="0">$E$68-I35*$E$69</f>
        <v>28.8</v>
      </c>
      <c r="K35" s="241">
        <f>E$68*(1-EXP(-J$68*H35)*(COS(J$76*H35)+(J$68/J$76)*SIN(H35*J$76)))+B$74*SQRT(E$70/E$71)*EXP(-H35*J$68)*SIN(J$76*H35)</f>
        <v>0</v>
      </c>
      <c r="P35">
        <f t="shared" ref="P35:P61" si="1">H35*1000</f>
        <v>0</v>
      </c>
      <c r="Q35">
        <f t="shared" ref="Q35:Q61" si="2">I35</f>
        <v>0</v>
      </c>
      <c r="R35">
        <f t="shared" ref="R35:R61" si="3">10*J35</f>
        <v>288</v>
      </c>
      <c r="S35">
        <f t="shared" ref="S35:S61" si="4">K35</f>
        <v>0</v>
      </c>
      <c r="T35" s="81">
        <v>0</v>
      </c>
    </row>
    <row r="36" spans="1:33" ht="15.75" customHeight="1" x14ac:dyDescent="0.2">
      <c r="E36" s="33" t="s">
        <v>259</v>
      </c>
      <c r="H36" s="2">
        <f t="shared" ref="H36:H61" si="5">H35+$B$34</f>
        <v>1.3609301355494154E-4</v>
      </c>
      <c r="I36" s="241">
        <f t="shared" ref="I36:I61" si="6">($B$33-$I$35)*(1-EXP(-H36/$J$4))+$I$35</f>
        <v>0.39199925822440773</v>
      </c>
      <c r="J36" s="241">
        <f t="shared" si="0"/>
        <v>28.221321524352717</v>
      </c>
      <c r="K36" s="241"/>
      <c r="P36">
        <f t="shared" si="1"/>
        <v>0.13609301355494155</v>
      </c>
      <c r="Q36">
        <f t="shared" si="2"/>
        <v>0.39199925822440773</v>
      </c>
      <c r="R36">
        <f t="shared" si="3"/>
        <v>282.2132152435272</v>
      </c>
      <c r="S36">
        <f t="shared" si="4"/>
        <v>0</v>
      </c>
      <c r="T36" s="245">
        <f t="shared" ref="T36:T67" si="7">(0.5*(Q35+Q36))^2*0.001*(P36-P35)</f>
        <v>5.2281294224521116E-6</v>
      </c>
    </row>
    <row r="37" spans="1:33" ht="12.75" customHeight="1" x14ac:dyDescent="0.2">
      <c r="H37" s="2">
        <f t="shared" si="5"/>
        <v>2.7218602710988308E-4</v>
      </c>
      <c r="I37" s="241">
        <f t="shared" si="6"/>
        <v>0.77612207432366953</v>
      </c>
      <c r="J37" s="241">
        <f t="shared" si="0"/>
        <v>27.654270436836597</v>
      </c>
      <c r="K37" s="241"/>
      <c r="P37">
        <f t="shared" si="1"/>
        <v>0.2721860271098831</v>
      </c>
      <c r="Q37">
        <f t="shared" si="2"/>
        <v>0.77612207432366953</v>
      </c>
      <c r="R37">
        <f t="shared" si="3"/>
        <v>276.542704368366</v>
      </c>
      <c r="S37">
        <f t="shared" si="4"/>
        <v>0</v>
      </c>
      <c r="T37" s="245">
        <f t="shared" si="7"/>
        <v>4.6424982638942757E-5</v>
      </c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</row>
    <row r="38" spans="1:33" ht="12.75" customHeight="1" x14ac:dyDescent="0.2">
      <c r="H38" s="2">
        <f t="shared" si="5"/>
        <v>4.0827904066482459E-4</v>
      </c>
      <c r="I38" s="241">
        <f t="shared" si="6"/>
        <v>1.1525267096700971</v>
      </c>
      <c r="J38" s="241">
        <f t="shared" si="0"/>
        <v>27.098613108311376</v>
      </c>
      <c r="K38" s="241"/>
      <c r="P38">
        <f t="shared" si="1"/>
        <v>0.40827904066482457</v>
      </c>
      <c r="Q38">
        <f t="shared" si="2"/>
        <v>1.1525267096700971</v>
      </c>
      <c r="R38">
        <f t="shared" si="3"/>
        <v>270.98613108311378</v>
      </c>
      <c r="S38">
        <f t="shared" si="4"/>
        <v>0</v>
      </c>
      <c r="T38" s="245">
        <f t="shared" si="7"/>
        <v>1.2655582379562255E-4</v>
      </c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</row>
    <row r="39" spans="1:33" ht="15.75" x14ac:dyDescent="0.3">
      <c r="D39" s="2" t="s">
        <v>373</v>
      </c>
      <c r="E39" t="s">
        <v>374</v>
      </c>
      <c r="H39" s="2">
        <f t="shared" si="5"/>
        <v>5.4437205421976615E-4</v>
      </c>
      <c r="I39" s="241">
        <f t="shared" si="6"/>
        <v>1.5213682456898272</v>
      </c>
      <c r="J39" s="241">
        <f t="shared" si="0"/>
        <v>26.554120603947727</v>
      </c>
      <c r="K39" s="241"/>
      <c r="P39">
        <f t="shared" si="1"/>
        <v>0.5443720542197662</v>
      </c>
      <c r="Q39">
        <f t="shared" si="2"/>
        <v>1.5213682456898272</v>
      </c>
      <c r="R39">
        <f t="shared" si="3"/>
        <v>265.54120603947729</v>
      </c>
      <c r="S39">
        <f t="shared" si="4"/>
        <v>0</v>
      </c>
      <c r="T39" s="245">
        <f t="shared" si="7"/>
        <v>2.432565389825653E-4</v>
      </c>
    </row>
    <row r="40" spans="1:33" ht="12.75" customHeight="1" x14ac:dyDescent="0.3">
      <c r="F40" s="2" t="s">
        <v>375</v>
      </c>
      <c r="H40" s="2">
        <f t="shared" si="5"/>
        <v>6.8046506777470772E-4</v>
      </c>
      <c r="I40" s="241">
        <f t="shared" si="6"/>
        <v>1.8827986477575001</v>
      </c>
      <c r="J40" s="241">
        <f t="shared" si="0"/>
        <v>26.020568588904439</v>
      </c>
      <c r="K40" s="241"/>
      <c r="P40">
        <f t="shared" si="1"/>
        <v>0.68046506777470772</v>
      </c>
      <c r="Q40">
        <f t="shared" si="2"/>
        <v>1.8827986477575001</v>
      </c>
      <c r="R40">
        <f t="shared" si="3"/>
        <v>260.20568588904439</v>
      </c>
      <c r="S40">
        <f t="shared" si="4"/>
        <v>0</v>
      </c>
      <c r="T40" s="245">
        <f t="shared" si="7"/>
        <v>3.9427344456645916E-4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</row>
    <row r="41" spans="1:33" x14ac:dyDescent="0.2">
      <c r="H41" s="2">
        <f t="shared" si="5"/>
        <v>8.1655808132964928E-4</v>
      </c>
      <c r="I41" s="241">
        <f t="shared" si="6"/>
        <v>2.2369668278070782</v>
      </c>
      <c r="J41" s="241">
        <f t="shared" si="0"/>
        <v>25.497737235900871</v>
      </c>
      <c r="K41" s="241"/>
      <c r="P41">
        <f t="shared" si="1"/>
        <v>0.81655808132964924</v>
      </c>
      <c r="Q41">
        <f t="shared" si="2"/>
        <v>2.2369668278070782</v>
      </c>
      <c r="R41">
        <f t="shared" si="3"/>
        <v>254.97737235900871</v>
      </c>
      <c r="S41">
        <f t="shared" si="4"/>
        <v>0</v>
      </c>
      <c r="T41" s="245">
        <f t="shared" si="7"/>
        <v>5.7745856489051922E-4</v>
      </c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</row>
    <row r="42" spans="1:33" x14ac:dyDescent="0.2">
      <c r="H42" s="2">
        <f t="shared" si="5"/>
        <v>9.5265109488459085E-4</v>
      </c>
      <c r="I42" s="241">
        <f t="shared" si="6"/>
        <v>2.5840187056846466</v>
      </c>
      <c r="J42" s="241">
        <f t="shared" si="0"/>
        <v>24.985411134646494</v>
      </c>
      <c r="K42" s="241"/>
      <c r="P42">
        <f t="shared" si="1"/>
        <v>0.95265109488459088</v>
      </c>
      <c r="Q42">
        <f t="shared" si="2"/>
        <v>2.5840187056846466</v>
      </c>
      <c r="R42">
        <f t="shared" si="3"/>
        <v>249.85411134646495</v>
      </c>
      <c r="S42">
        <f t="shared" si="4"/>
        <v>0</v>
      </c>
      <c r="T42" s="245">
        <f t="shared" si="7"/>
        <v>7.9076510445149891E-4</v>
      </c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</row>
    <row r="43" spans="1:33" x14ac:dyDescent="0.2">
      <c r="H43" s="2">
        <f t="shared" si="5"/>
        <v>1.0887441084395323E-3</v>
      </c>
      <c r="I43" s="241">
        <f t="shared" si="6"/>
        <v>2.9240972692684415</v>
      </c>
      <c r="J43" s="241">
        <f t="shared" si="0"/>
        <v>24.483379203090315</v>
      </c>
      <c r="K43" s="241"/>
      <c r="P43">
        <f t="shared" si="1"/>
        <v>1.0887441084395324</v>
      </c>
      <c r="Q43">
        <f t="shared" si="2"/>
        <v>2.9240972692684415</v>
      </c>
      <c r="R43">
        <f t="shared" si="3"/>
        <v>244.83379203090317</v>
      </c>
      <c r="S43">
        <f t="shared" si="4"/>
        <v>0</v>
      </c>
      <c r="T43" s="245">
        <f t="shared" si="7"/>
        <v>1.0322431066841858E-3</v>
      </c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</row>
    <row r="44" spans="1:33" x14ac:dyDescent="0.2">
      <c r="H44" s="2">
        <f t="shared" si="5"/>
        <v>1.2248371219944739E-3</v>
      </c>
      <c r="I44" s="241">
        <f t="shared" si="6"/>
        <v>3.257342633380881</v>
      </c>
      <c r="J44" s="241">
        <f t="shared" si="0"/>
        <v>23.991434600453555</v>
      </c>
      <c r="K44" s="241"/>
      <c r="P44">
        <f t="shared" si="1"/>
        <v>1.2248371219944738</v>
      </c>
      <c r="Q44">
        <f t="shared" si="2"/>
        <v>3.257342633380881</v>
      </c>
      <c r="R44">
        <f t="shared" si="3"/>
        <v>239.91434600453556</v>
      </c>
      <c r="S44">
        <f t="shared" si="4"/>
        <v>0</v>
      </c>
      <c r="T44" s="245">
        <f t="shared" si="7"/>
        <v>1.3000352917995012E-3</v>
      </c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</row>
    <row r="45" spans="1:33" x14ac:dyDescent="0.2">
      <c r="H45" s="2">
        <f t="shared" si="5"/>
        <v>1.3609301355494154E-3</v>
      </c>
      <c r="I45" s="241">
        <f t="shared" si="6"/>
        <v>3.5838920975168942</v>
      </c>
      <c r="J45" s="241">
        <f t="shared" si="0"/>
        <v>23.509374642009735</v>
      </c>
      <c r="K45" s="241"/>
      <c r="P45">
        <f t="shared" si="1"/>
        <v>1.3609301355494154</v>
      </c>
      <c r="Q45">
        <f t="shared" si="2"/>
        <v>3.5838920975168942</v>
      </c>
      <c r="R45">
        <f t="shared" si="3"/>
        <v>235.09374642009735</v>
      </c>
      <c r="S45">
        <f t="shared" si="4"/>
        <v>0</v>
      </c>
      <c r="T45" s="245">
        <f t="shared" si="7"/>
        <v>1.5923730664254459E-3</v>
      </c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</row>
    <row r="46" spans="1:33" x14ac:dyDescent="0.2">
      <c r="H46" s="2">
        <f t="shared" si="5"/>
        <v>1.497023149104357E-3</v>
      </c>
      <c r="I46" s="241">
        <f t="shared" si="6"/>
        <v>3.9038802024122936</v>
      </c>
      <c r="J46" s="241">
        <f t="shared" si="0"/>
        <v>23.037000715577129</v>
      </c>
      <c r="K46" s="241"/>
      <c r="P46">
        <f t="shared" si="1"/>
        <v>1.4970231491043571</v>
      </c>
      <c r="Q46">
        <f t="shared" si="2"/>
        <v>3.9038802024122936</v>
      </c>
      <c r="R46">
        <f t="shared" si="3"/>
        <v>230.3700071557713</v>
      </c>
      <c r="S46">
        <f t="shared" si="4"/>
        <v>0</v>
      </c>
      <c r="T46" s="245">
        <f t="shared" si="7"/>
        <v>1.9075726980911417E-3</v>
      </c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</row>
    <row r="47" spans="1:33" x14ac:dyDescent="0.2">
      <c r="H47" s="2">
        <f t="shared" si="5"/>
        <v>1.6331161626592986E-3</v>
      </c>
      <c r="I47" s="241">
        <f t="shared" si="6"/>
        <v>4.2174387854755357</v>
      </c>
      <c r="J47" s="241">
        <f t="shared" si="0"/>
        <v>22.574118199689089</v>
      </c>
      <c r="K47" s="241"/>
      <c r="P47">
        <f t="shared" si="1"/>
        <v>1.6331161626592985</v>
      </c>
      <c r="Q47">
        <f t="shared" si="2"/>
        <v>4.2174387854755357</v>
      </c>
      <c r="R47">
        <f t="shared" si="3"/>
        <v>225.74118199689087</v>
      </c>
      <c r="S47">
        <f t="shared" si="4"/>
        <v>0</v>
      </c>
      <c r="T47" s="245">
        <f t="shared" si="7"/>
        <v>2.2440316478736528E-3</v>
      </c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</row>
    <row r="48" spans="1:33" x14ac:dyDescent="0.2">
      <c r="H48" s="2">
        <f t="shared" si="5"/>
        <v>1.7692091762142401E-3</v>
      </c>
      <c r="I48" s="241">
        <f t="shared" si="6"/>
        <v>4.5246970351056826</v>
      </c>
      <c r="J48" s="241">
        <f t="shared" si="0"/>
        <v>22.120536383408613</v>
      </c>
      <c r="K48" s="241"/>
      <c r="P48">
        <f t="shared" si="1"/>
        <v>1.7692091762142401</v>
      </c>
      <c r="Q48">
        <f t="shared" si="2"/>
        <v>4.5246970351056826</v>
      </c>
      <c r="R48">
        <f t="shared" si="3"/>
        <v>221.20536383408614</v>
      </c>
      <c r="S48">
        <f t="shared" si="4"/>
        <v>0</v>
      </c>
      <c r="T48" s="245">
        <f t="shared" si="7"/>
        <v>2.6002250547954332E-3</v>
      </c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</row>
    <row r="49" spans="8:21" x14ac:dyDescent="0.2">
      <c r="H49" s="2">
        <f t="shared" si="5"/>
        <v>1.9053021897691817E-3</v>
      </c>
      <c r="I49" s="241">
        <f t="shared" si="6"/>
        <v>4.8257815439189535</v>
      </c>
      <c r="J49" s="241">
        <f t="shared" si="0"/>
        <v>21.676068387754057</v>
      </c>
      <c r="K49" s="241"/>
      <c r="P49">
        <f t="shared" si="1"/>
        <v>1.9053021897691818</v>
      </c>
      <c r="Q49">
        <f t="shared" si="2"/>
        <v>4.8257815439189535</v>
      </c>
      <c r="R49">
        <f t="shared" si="3"/>
        <v>216.76068387754057</v>
      </c>
      <c r="S49">
        <f t="shared" si="4"/>
        <v>0</v>
      </c>
      <c r="T49" s="245">
        <f t="shared" si="7"/>
        <v>2.9747023658177212E-3</v>
      </c>
    </row>
    <row r="50" spans="8:21" x14ac:dyDescent="0.2">
      <c r="H50" s="2">
        <f t="shared" si="5"/>
        <v>2.0413952033241233E-3</v>
      </c>
      <c r="I50" s="241">
        <f t="shared" si="6"/>
        <v>5.1208163609057982</v>
      </c>
      <c r="J50" s="241">
        <f t="shared" si="0"/>
        <v>21.240531088703648</v>
      </c>
      <c r="K50" s="241"/>
      <c r="P50">
        <f t="shared" si="1"/>
        <v>2.0413952033241234</v>
      </c>
      <c r="Q50">
        <f t="shared" si="2"/>
        <v>5.1208163609057982</v>
      </c>
      <c r="R50">
        <f t="shared" si="3"/>
        <v>212.40531088703648</v>
      </c>
      <c r="S50">
        <f t="shared" si="4"/>
        <v>0</v>
      </c>
      <c r="T50" s="245">
        <f t="shared" si="7"/>
        <v>3.3660841055225908E-3</v>
      </c>
    </row>
    <row r="51" spans="8:21" x14ac:dyDescent="0.2">
      <c r="H51" s="2">
        <f t="shared" si="5"/>
        <v>2.1774882168790646E-3</v>
      </c>
      <c r="I51" s="241">
        <f t="shared" si="6"/>
        <v>5.4099230425399734</v>
      </c>
      <c r="J51" s="241">
        <f t="shared" si="0"/>
        <v>20.813745041747062</v>
      </c>
      <c r="K51" s="241"/>
      <c r="P51">
        <f t="shared" si="1"/>
        <v>2.1774882168790648</v>
      </c>
      <c r="Q51">
        <f t="shared" si="2"/>
        <v>5.4099230425399734</v>
      </c>
      <c r="R51">
        <f t="shared" si="3"/>
        <v>208.13745041747063</v>
      </c>
      <c r="S51">
        <f t="shared" si="4"/>
        <v>0</v>
      </c>
      <c r="T51" s="245">
        <f t="shared" si="7"/>
        <v>3.7730587798134115E-3</v>
      </c>
    </row>
    <row r="52" spans="8:21" x14ac:dyDescent="0.2">
      <c r="H52" s="2">
        <f t="shared" si="5"/>
        <v>2.313581230434006E-3</v>
      </c>
      <c r="I52" s="241">
        <f t="shared" si="6"/>
        <v>5.693220702860696</v>
      </c>
      <c r="J52" s="241">
        <f t="shared" si="0"/>
        <v>20.395534407952983</v>
      </c>
      <c r="K52" s="241"/>
      <c r="P52">
        <f t="shared" si="1"/>
        <v>2.3135812304340058</v>
      </c>
      <c r="Q52">
        <f t="shared" si="2"/>
        <v>5.693220702860696</v>
      </c>
      <c r="R52">
        <f t="shared" si="3"/>
        <v>203.95534407952982</v>
      </c>
      <c r="S52">
        <f t="shared" si="4"/>
        <v>0</v>
      </c>
      <c r="T52" s="245">
        <f t="shared" si="7"/>
        <v>4.1943799081915973E-3</v>
      </c>
    </row>
    <row r="53" spans="8:21" x14ac:dyDescent="0.2">
      <c r="H53" s="2">
        <f t="shared" si="5"/>
        <v>2.4496742439889473E-3</v>
      </c>
      <c r="I53" s="241">
        <f t="shared" si="6"/>
        <v>5.970826062548471</v>
      </c>
      <c r="J53" s="241">
        <f t="shared" si="0"/>
        <v>19.985726881522222</v>
      </c>
      <c r="K53" s="241"/>
      <c r="P53">
        <f t="shared" si="1"/>
        <v>2.4496742439889472</v>
      </c>
      <c r="Q53">
        <f t="shared" si="2"/>
        <v>5.970826062548471</v>
      </c>
      <c r="R53">
        <f t="shared" si="3"/>
        <v>199.85726881522223</v>
      </c>
      <c r="S53">
        <f t="shared" si="4"/>
        <v>0</v>
      </c>
      <c r="T53" s="245">
        <f t="shared" si="7"/>
        <v>4.6288631793860585E-3</v>
      </c>
    </row>
    <row r="54" spans="8:21" x14ac:dyDescent="0.2">
      <c r="H54" s="2">
        <f t="shared" si="5"/>
        <v>2.5857672575438887E-3</v>
      </c>
      <c r="I54" s="241">
        <f t="shared" si="6"/>
        <v>6.2428534970148704</v>
      </c>
      <c r="J54" s="241">
        <f t="shared" si="0"/>
        <v>19.584153618796449</v>
      </c>
      <c r="K54" s="241"/>
      <c r="P54">
        <f t="shared" si="1"/>
        <v>2.5857672575438886</v>
      </c>
      <c r="Q54">
        <f t="shared" si="2"/>
        <v>6.2428534970148704</v>
      </c>
      <c r="R54">
        <f t="shared" si="3"/>
        <v>195.84153618796449</v>
      </c>
      <c r="S54">
        <f t="shared" si="4"/>
        <v>0</v>
      </c>
      <c r="T54" s="245">
        <f t="shared" si="7"/>
        <v>5.0753837253216657E-3</v>
      </c>
    </row>
    <row r="55" spans="8:21" x14ac:dyDescent="0.2">
      <c r="H55" s="2">
        <f t="shared" si="5"/>
        <v>2.72186027109883E-3</v>
      </c>
      <c r="I55" s="241">
        <f t="shared" si="6"/>
        <v>6.5094150835260161</v>
      </c>
      <c r="J55" s="241">
        <f t="shared" si="0"/>
        <v>19.190649168693419</v>
      </c>
      <c r="K55" s="241"/>
      <c r="P55">
        <f t="shared" si="1"/>
        <v>2.72186027109883</v>
      </c>
      <c r="Q55">
        <f t="shared" si="2"/>
        <v>6.5094150835260161</v>
      </c>
      <c r="R55">
        <f t="shared" si="3"/>
        <v>191.9064916869342</v>
      </c>
      <c r="S55">
        <f t="shared" si="4"/>
        <v>0</v>
      </c>
      <c r="T55" s="245">
        <f t="shared" si="7"/>
        <v>5.5328735086151949E-3</v>
      </c>
    </row>
    <row r="56" spans="8:21" x14ac:dyDescent="0.2">
      <c r="H56" s="2">
        <f t="shared" si="5"/>
        <v>2.8579532846537714E-3</v>
      </c>
      <c r="I56" s="241">
        <f t="shared" si="6"/>
        <v>6.7706206473792339</v>
      </c>
      <c r="J56" s="241">
        <f t="shared" si="0"/>
        <v>18.805051404539903</v>
      </c>
      <c r="K56" s="241"/>
      <c r="P56">
        <f t="shared" si="1"/>
        <v>2.8579532846537714</v>
      </c>
      <c r="Q56">
        <f t="shared" si="2"/>
        <v>6.7706206473792339</v>
      </c>
      <c r="R56">
        <f t="shared" si="3"/>
        <v>188.05051404539904</v>
      </c>
      <c r="S56">
        <f t="shared" si="4"/>
        <v>0</v>
      </c>
      <c r="T56" s="245">
        <f t="shared" si="7"/>
        <v>6.0003188189798251E-3</v>
      </c>
    </row>
    <row r="57" spans="8:21" x14ac:dyDescent="0.2">
      <c r="H57" s="2">
        <f t="shared" si="5"/>
        <v>2.9940462982087127E-3</v>
      </c>
      <c r="I57" s="241">
        <f t="shared" si="6"/>
        <v>7.0265778071518543</v>
      </c>
      <c r="J57" s="241">
        <f t="shared" si="0"/>
        <v>18.42720145727435</v>
      </c>
      <c r="K57" s="241"/>
      <c r="P57">
        <f t="shared" si="1"/>
        <v>2.9940462982087128</v>
      </c>
      <c r="Q57">
        <f t="shared" si="2"/>
        <v>7.0265778071518543</v>
      </c>
      <c r="R57">
        <f t="shared" si="3"/>
        <v>184.2720145727435</v>
      </c>
      <c r="S57">
        <f t="shared" si="4"/>
        <v>0</v>
      </c>
      <c r="T57" s="245">
        <f t="shared" si="7"/>
        <v>6.4767578741058264E-3</v>
      </c>
    </row>
    <row r="58" spans="8:21" x14ac:dyDescent="0.2">
      <c r="H58" s="2">
        <f t="shared" si="5"/>
        <v>3.1301393117636541E-3</v>
      </c>
      <c r="I58" s="241">
        <f t="shared" si="6"/>
        <v>7.2773920190408568</v>
      </c>
      <c r="J58" s="241">
        <f t="shared" si="0"/>
        <v>18.056943649991677</v>
      </c>
      <c r="K58" s="241"/>
      <c r="P58">
        <f t="shared" si="1"/>
        <v>3.1301393117636542</v>
      </c>
      <c r="Q58">
        <f t="shared" si="2"/>
        <v>7.2773920190408568</v>
      </c>
      <c r="R58">
        <f t="shared" si="3"/>
        <v>180.56943649991678</v>
      </c>
      <c r="S58">
        <f t="shared" si="4"/>
        <v>0</v>
      </c>
      <c r="T58" s="245">
        <f t="shared" si="7"/>
        <v>6.9612785207631006E-3</v>
      </c>
    </row>
    <row r="59" spans="8:21" x14ac:dyDescent="0.2">
      <c r="H59" s="2">
        <f t="shared" si="5"/>
        <v>3.2662323253185954E-3</v>
      </c>
      <c r="I59" s="241">
        <f t="shared" si="6"/>
        <v>7.5231666203115735</v>
      </c>
      <c r="J59" s="241">
        <f t="shared" si="0"/>
        <v>17.694125433803272</v>
      </c>
      <c r="K59" s="241"/>
      <c r="P59">
        <f t="shared" si="1"/>
        <v>3.2662323253185952</v>
      </c>
      <c r="Q59">
        <f t="shared" si="2"/>
        <v>7.5231666203115735</v>
      </c>
      <c r="R59">
        <f t="shared" si="3"/>
        <v>176.94125433803271</v>
      </c>
      <c r="S59">
        <f t="shared" si="4"/>
        <v>0</v>
      </c>
      <c r="T59" s="245">
        <f t="shared" si="7"/>
        <v>7.4530160320423981E-3</v>
      </c>
    </row>
    <row r="60" spans="8:21" x14ac:dyDescent="0.2">
      <c r="H60" s="2">
        <f t="shared" si="5"/>
        <v>3.4023253388735368E-3</v>
      </c>
      <c r="I60" s="241">
        <f t="shared" si="6"/>
        <v>7.7640028718733962</v>
      </c>
      <c r="J60" s="241">
        <f t="shared" si="0"/>
        <v>17.338597324985734</v>
      </c>
      <c r="K60" s="241"/>
      <c r="P60">
        <f t="shared" si="1"/>
        <v>3.4023253388735366</v>
      </c>
      <c r="Q60">
        <f t="shared" si="2"/>
        <v>7.7640028718733962</v>
      </c>
      <c r="R60">
        <f t="shared" si="3"/>
        <v>173.38597324985733</v>
      </c>
      <c r="S60">
        <f t="shared" si="4"/>
        <v>0</v>
      </c>
      <c r="T60" s="245">
        <f t="shared" si="7"/>
        <v>7.9511509968167166E-3</v>
      </c>
    </row>
    <row r="61" spans="8:21" x14ac:dyDescent="0.2">
      <c r="H61" s="2">
        <f t="shared" si="5"/>
        <v>3.5384183524284781E-3</v>
      </c>
      <c r="I61" s="241">
        <f t="shared" si="6"/>
        <v>7.9999999999999964</v>
      </c>
      <c r="J61" s="241">
        <f t="shared" si="0"/>
        <v>16.990212843392513</v>
      </c>
      <c r="K61" s="241"/>
      <c r="P61">
        <f t="shared" si="1"/>
        <v>3.538418352428478</v>
      </c>
      <c r="Q61">
        <f t="shared" si="2"/>
        <v>7.9999999999999964</v>
      </c>
      <c r="R61">
        <f t="shared" si="3"/>
        <v>169.90212843392513</v>
      </c>
      <c r="S61">
        <f t="shared" si="4"/>
        <v>0</v>
      </c>
      <c r="T61" s="245">
        <f t="shared" si="7"/>
        <v>8.4549072976614313E-3</v>
      </c>
      <c r="U61">
        <f>SQRT(SUM(T36:T61))/(0.001*P61)</f>
        <v>82.73502208184361</v>
      </c>
    </row>
    <row r="62" spans="8:21" x14ac:dyDescent="0.2">
      <c r="P62" s="148">
        <f t="shared" ref="P62:P93" si="8">1000*($H$61+H81)</f>
        <v>3.538418352428478</v>
      </c>
      <c r="Q62" s="252">
        <f t="shared" ref="Q62:Q93" si="9">I81</f>
        <v>7.9999999999999964</v>
      </c>
      <c r="R62" s="252">
        <f t="shared" ref="R62:R93" si="10">J81</f>
        <v>16.990212843392513</v>
      </c>
      <c r="S62" s="252">
        <f t="shared" ref="S62:S93" si="11">K81</f>
        <v>0</v>
      </c>
      <c r="T62" s="245">
        <f t="shared" si="7"/>
        <v>0</v>
      </c>
    </row>
    <row r="63" spans="8:21" x14ac:dyDescent="0.2">
      <c r="H63" t="s">
        <v>379</v>
      </c>
      <c r="I63" s="241"/>
      <c r="K63" s="241"/>
      <c r="P63" s="25">
        <f t="shared" si="8"/>
        <v>3.5610360702687367</v>
      </c>
      <c r="Q63" s="241">
        <f t="shared" si="9"/>
        <v>7.9563169900745097</v>
      </c>
      <c r="R63" s="241">
        <f t="shared" si="10"/>
        <v>-117.39895145611051</v>
      </c>
      <c r="S63" s="241">
        <f t="shared" si="11"/>
        <v>134.45365018070052</v>
      </c>
      <c r="T63" s="245">
        <f t="shared" si="7"/>
        <v>1.4396406516458725E-3</v>
      </c>
    </row>
    <row r="64" spans="8:21" x14ac:dyDescent="0.2">
      <c r="H64" s="2">
        <f>COUNT(H35:H61)</f>
        <v>27</v>
      </c>
      <c r="I64" s="241"/>
      <c r="J64" s="242"/>
      <c r="K64" s="241"/>
      <c r="P64" s="25">
        <f t="shared" si="8"/>
        <v>3.5836537881089949</v>
      </c>
      <c r="Q64" s="241">
        <f t="shared" si="9"/>
        <v>7.78751661448565</v>
      </c>
      <c r="R64" s="241">
        <f t="shared" si="10"/>
        <v>-249.4872091544037</v>
      </c>
      <c r="S64" s="241">
        <f t="shared" si="11"/>
        <v>266.7910949424512</v>
      </c>
      <c r="T64" s="245">
        <f t="shared" si="7"/>
        <v>1.4015537983305575E-3</v>
      </c>
    </row>
    <row r="65" spans="1:20" ht="20.25" x14ac:dyDescent="0.3">
      <c r="A65" s="46" t="s">
        <v>197</v>
      </c>
      <c r="I65" s="241"/>
      <c r="J65" s="242" t="s">
        <v>198</v>
      </c>
      <c r="K65" s="241"/>
      <c r="P65" s="25">
        <f t="shared" si="8"/>
        <v>3.6062715059492532</v>
      </c>
      <c r="Q65" s="241">
        <f t="shared" si="9"/>
        <v>7.4966778211988343</v>
      </c>
      <c r="R65" s="241">
        <f t="shared" si="10"/>
        <v>-377.20270770061859</v>
      </c>
      <c r="S65" s="241">
        <f t="shared" si="11"/>
        <v>394.93593651936629</v>
      </c>
      <c r="T65" s="245">
        <f t="shared" si="7"/>
        <v>1.3209120385486324E-3</v>
      </c>
    </row>
    <row r="66" spans="1:20" x14ac:dyDescent="0.2">
      <c r="I66" s="241"/>
      <c r="J66" s="242">
        <f>J69*(2*E70)</f>
        <v>109.98514608160279</v>
      </c>
      <c r="K66" s="241"/>
      <c r="P66" s="25">
        <f t="shared" si="8"/>
        <v>3.6288892237895118</v>
      </c>
      <c r="Q66" s="241">
        <f t="shared" si="9"/>
        <v>7.0887905656091021</v>
      </c>
      <c r="R66" s="241">
        <f t="shared" si="10"/>
        <v>-498.54941663732995</v>
      </c>
      <c r="S66" s="241">
        <f t="shared" si="11"/>
        <v>516.88477816512864</v>
      </c>
      <c r="T66" s="245">
        <f t="shared" si="7"/>
        <v>1.2029000726740365E-3</v>
      </c>
    </row>
    <row r="67" spans="1:20" x14ac:dyDescent="0.2">
      <c r="A67" t="s">
        <v>200</v>
      </c>
      <c r="E67" s="33" t="s">
        <v>199</v>
      </c>
      <c r="G67" t="s">
        <v>201</v>
      </c>
      <c r="I67" s="241"/>
      <c r="J67" s="241"/>
      <c r="K67" s="241"/>
      <c r="P67" s="25">
        <f t="shared" si="8"/>
        <v>3.6515069416297701</v>
      </c>
      <c r="Q67" s="241">
        <f t="shared" si="9"/>
        <v>6.570670812961378</v>
      </c>
      <c r="R67" s="241">
        <f t="shared" si="10"/>
        <v>-611.63829781768754</v>
      </c>
      <c r="S67" s="241">
        <f t="shared" si="11"/>
        <v>630.73851984553664</v>
      </c>
      <c r="T67" s="245">
        <f t="shared" si="7"/>
        <v>1.0550084536921146E-3</v>
      </c>
    </row>
    <row r="68" spans="1:20" ht="14.25" x14ac:dyDescent="0.2">
      <c r="A68" s="33" t="s">
        <v>202</v>
      </c>
      <c r="B68" s="10">
        <f>E68</f>
        <v>28.8</v>
      </c>
      <c r="C68" t="s">
        <v>837</v>
      </c>
      <c r="D68" s="33" t="s">
        <v>202</v>
      </c>
      <c r="E68" s="10">
        <f>E4</f>
        <v>28.8</v>
      </c>
      <c r="F68" t="s">
        <v>837</v>
      </c>
      <c r="G68" s="236" t="s">
        <v>203</v>
      </c>
      <c r="H68" s="2">
        <f>J68*J68</f>
        <v>5561.068689906032</v>
      </c>
      <c r="I68" s="243" t="s">
        <v>204</v>
      </c>
      <c r="J68" s="242">
        <f>E69/(2*E70)</f>
        <v>74.572573308864918</v>
      </c>
      <c r="K68" s="244" t="s">
        <v>205</v>
      </c>
      <c r="P68" s="25">
        <f t="shared" si="8"/>
        <v>3.6741246594700283</v>
      </c>
      <c r="Q68" s="241">
        <f t="shared" si="9"/>
        <v>5.9508470782624805</v>
      </c>
      <c r="R68" s="241">
        <f t="shared" si="10"/>
        <v>-714.71668616259944</v>
      </c>
      <c r="S68" s="241">
        <f t="shared" si="11"/>
        <v>734.73190648812454</v>
      </c>
      <c r="T68" s="245">
        <f t="shared" ref="T68:T99" si="12">(0.5*(Q67+Q68))^2*0.001*(P68-P67)</f>
        <v>8.8654900619836185E-4</v>
      </c>
    </row>
    <row r="69" spans="1:20" ht="15.75" x14ac:dyDescent="0.3">
      <c r="A69" s="33" t="s">
        <v>206</v>
      </c>
      <c r="B69" s="10">
        <f>E69</f>
        <v>1.4762233945759369</v>
      </c>
      <c r="C69" t="s">
        <v>965</v>
      </c>
      <c r="D69" s="33" t="s">
        <v>206</v>
      </c>
      <c r="E69" s="10">
        <f>E23</f>
        <v>1.4762233945759369</v>
      </c>
      <c r="F69" t="s">
        <v>965</v>
      </c>
      <c r="G69" s="147" t="s">
        <v>207</v>
      </c>
      <c r="H69" s="2">
        <f>1/(E70*E71)</f>
        <v>30868971.820367791</v>
      </c>
      <c r="I69" s="243" t="s">
        <v>208</v>
      </c>
      <c r="J69" s="242">
        <f>SQRT(H69)</f>
        <v>5555.9852249954547</v>
      </c>
      <c r="K69" s="241"/>
      <c r="P69" s="25">
        <f t="shared" si="8"/>
        <v>3.696742377310287</v>
      </c>
      <c r="Q69" s="241">
        <f t="shared" si="9"/>
        <v>5.2394203858550972</v>
      </c>
      <c r="R69" s="241">
        <f t="shared" si="10"/>
        <v>-806.19542441277338</v>
      </c>
      <c r="S69" s="241">
        <f t="shared" si="11"/>
        <v>827.26086946515602</v>
      </c>
      <c r="T69" s="245">
        <f t="shared" si="12"/>
        <v>7.0805945166825036E-4</v>
      </c>
    </row>
    <row r="70" spans="1:20" x14ac:dyDescent="0.2">
      <c r="A70" s="33" t="s">
        <v>209</v>
      </c>
      <c r="B70" s="10">
        <f>1000*E70</f>
        <v>9.897897639</v>
      </c>
      <c r="C70" t="s">
        <v>995</v>
      </c>
      <c r="D70" s="33" t="s">
        <v>209</v>
      </c>
      <c r="E70" s="10">
        <f>E24</f>
        <v>9.8978976389999997E-3</v>
      </c>
      <c r="F70" t="s">
        <v>898</v>
      </c>
      <c r="G70" s="2" t="s">
        <v>210</v>
      </c>
      <c r="H70" s="2">
        <f>E68/E70</f>
        <v>2909.7088139729144</v>
      </c>
      <c r="I70" s="241"/>
      <c r="J70" s="241"/>
      <c r="K70" s="241"/>
      <c r="P70" s="25">
        <f t="shared" si="8"/>
        <v>3.7193600951505452</v>
      </c>
      <c r="Q70" s="241">
        <f t="shared" si="9"/>
        <v>4.4478999429670436</v>
      </c>
      <c r="R70" s="241">
        <f t="shared" si="10"/>
        <v>-884.67333222906257</v>
      </c>
      <c r="S70" s="241">
        <f t="shared" si="11"/>
        <v>906.90723827652164</v>
      </c>
      <c r="T70" s="245">
        <f t="shared" si="12"/>
        <v>5.3063526864177311E-4</v>
      </c>
    </row>
    <row r="71" spans="1:20" ht="15.75" x14ac:dyDescent="0.3">
      <c r="A71" s="33" t="s">
        <v>211</v>
      </c>
      <c r="B71" s="10">
        <f>E71*1000000</f>
        <v>3.2729161382065897</v>
      </c>
      <c r="C71" t="s">
        <v>1160</v>
      </c>
      <c r="D71" s="33" t="s">
        <v>211</v>
      </c>
      <c r="E71" s="251">
        <f>E25</f>
        <v>3.2729161382065896E-6</v>
      </c>
      <c r="F71" t="s">
        <v>212</v>
      </c>
      <c r="G71" s="113" t="s">
        <v>213</v>
      </c>
      <c r="H71" s="242">
        <f>J69/(2*PI())</f>
        <v>884.26251230356297</v>
      </c>
      <c r="I71" s="241" t="s">
        <v>214</v>
      </c>
      <c r="J71" s="245">
        <f>1/H71</f>
        <v>1.1308858920129196E-3</v>
      </c>
      <c r="K71" s="241" t="s">
        <v>215</v>
      </c>
      <c r="P71" s="25">
        <f t="shared" si="8"/>
        <v>3.7419778129908035</v>
      </c>
      <c r="Q71" s="241">
        <f t="shared" si="9"/>
        <v>3.5890171961825703</v>
      </c>
      <c r="R71" s="241">
        <f t="shared" si="10"/>
        <v>-948.95863337588355</v>
      </c>
      <c r="S71" s="241">
        <f t="shared" si="11"/>
        <v>972.46044222734349</v>
      </c>
      <c r="T71" s="245">
        <f t="shared" si="12"/>
        <v>3.652311174726258E-4</v>
      </c>
    </row>
    <row r="72" spans="1:20" x14ac:dyDescent="0.2">
      <c r="I72" s="241"/>
      <c r="J72" s="241"/>
      <c r="K72" s="241"/>
      <c r="P72" s="25">
        <f t="shared" si="8"/>
        <v>3.7645955308310621</v>
      </c>
      <c r="Q72" s="241">
        <f t="shared" si="9"/>
        <v>2.6765212711343116</v>
      </c>
      <c r="R72" s="241">
        <f t="shared" si="10"/>
        <v>-998.0870138816158</v>
      </c>
      <c r="S72" s="241">
        <f t="shared" si="11"/>
        <v>1022.9358705650872</v>
      </c>
      <c r="T72" s="245">
        <f t="shared" si="12"/>
        <v>2.2197578060366394E-4</v>
      </c>
    </row>
    <row r="73" spans="1:20" x14ac:dyDescent="0.2">
      <c r="A73" t="s">
        <v>216</v>
      </c>
      <c r="B73" s="17">
        <v>0</v>
      </c>
      <c r="E73" t="s">
        <v>217</v>
      </c>
      <c r="I73" s="241"/>
      <c r="J73" s="241"/>
      <c r="K73" s="241"/>
      <c r="P73" s="25">
        <f t="shared" si="8"/>
        <v>3.7872132486713204</v>
      </c>
      <c r="Q73" s="241">
        <f t="shared" si="9"/>
        <v>1.7249590787135847</v>
      </c>
      <c r="R73" s="241">
        <f t="shared" si="10"/>
        <v>-1031.3360382134642</v>
      </c>
      <c r="S73" s="241">
        <f t="shared" si="11"/>
        <v>1057.589613266781</v>
      </c>
      <c r="T73" s="245">
        <f t="shared" si="12"/>
        <v>1.0954342743553035E-4</v>
      </c>
    </row>
    <row r="74" spans="1:20" ht="21" x14ac:dyDescent="0.35">
      <c r="A74" s="33" t="s">
        <v>240</v>
      </c>
      <c r="B74" s="19">
        <f>E68/E69</f>
        <v>19.509242372000987</v>
      </c>
      <c r="C74" t="s">
        <v>895</v>
      </c>
      <c r="D74" s="33" t="s">
        <v>218</v>
      </c>
      <c r="E74" s="147" t="s">
        <v>219</v>
      </c>
      <c r="F74" t="b">
        <f>IF(H68&gt;H69,TRUE(),FALSE())</f>
        <v>0</v>
      </c>
      <c r="G74" t="s">
        <v>220</v>
      </c>
      <c r="I74" s="246" t="s">
        <v>221</v>
      </c>
      <c r="J74" s="241" t="str">
        <f>IF(F74,SQRT(H68-H69),"")</f>
        <v/>
      </c>
      <c r="K74" s="241"/>
      <c r="P74" s="25">
        <f t="shared" si="8"/>
        <v>3.809830966511579</v>
      </c>
      <c r="Q74" s="241">
        <f t="shared" si="9"/>
        <v>0.74944360145057121</v>
      </c>
      <c r="R74" s="241">
        <f t="shared" si="10"/>
        <v>-1048.2357087630228</v>
      </c>
      <c r="S74" s="241">
        <f t="shared" si="11"/>
        <v>1075.9293625856462</v>
      </c>
      <c r="T74" s="245">
        <f t="shared" si="12"/>
        <v>3.4620197839517552E-5</v>
      </c>
    </row>
    <row r="75" spans="1:20" ht="15.75" x14ac:dyDescent="0.3">
      <c r="A75" s="33" t="s">
        <v>355</v>
      </c>
      <c r="B75" s="257">
        <f>B76*J71</f>
        <v>2.2617717840258393E-5</v>
      </c>
      <c r="C75" t="s">
        <v>215</v>
      </c>
      <c r="D75" s="33" t="s">
        <v>222</v>
      </c>
      <c r="E75" s="147" t="s">
        <v>223</v>
      </c>
      <c r="F75" t="b">
        <f>IF(H68=H69,TRUE(),FALSE())</f>
        <v>0</v>
      </c>
      <c r="G75" t="s">
        <v>224</v>
      </c>
      <c r="I75" s="246" t="s">
        <v>221</v>
      </c>
      <c r="J75" s="241" t="str">
        <f>IF(F75,0,"")</f>
        <v/>
      </c>
      <c r="K75" s="241"/>
      <c r="P75" s="25">
        <f t="shared" si="8"/>
        <v>3.8324486843518373</v>
      </c>
      <c r="Q75" s="241">
        <f t="shared" si="9"/>
        <v>-0.23458595202501364</v>
      </c>
      <c r="R75" s="241">
        <f t="shared" si="10"/>
        <v>-1048.5750153816459</v>
      </c>
      <c r="S75" s="241">
        <f t="shared" si="11"/>
        <v>1077.7213166520642</v>
      </c>
      <c r="T75" s="245">
        <f t="shared" si="12"/>
        <v>1.4988671095049678E-6</v>
      </c>
    </row>
    <row r="76" spans="1:20" ht="15.75" x14ac:dyDescent="0.3">
      <c r="A76" t="s">
        <v>263</v>
      </c>
      <c r="B76" s="268">
        <v>0.02</v>
      </c>
      <c r="D76" s="33" t="s">
        <v>225</v>
      </c>
      <c r="E76" s="147" t="s">
        <v>226</v>
      </c>
      <c r="F76" t="b">
        <f>IF(H68&lt;H69,TRUE(),FALSE())</f>
        <v>1</v>
      </c>
      <c r="G76" t="s">
        <v>227</v>
      </c>
      <c r="I76" s="246" t="s">
        <v>228</v>
      </c>
      <c r="J76" s="241">
        <f>IF(F76,SQRT(H69-H68),"")</f>
        <v>5555.4847449775152</v>
      </c>
      <c r="K76" s="247" t="s">
        <v>229</v>
      </c>
      <c r="P76" s="25">
        <f t="shared" si="8"/>
        <v>3.8550664021920955</v>
      </c>
      <c r="Q76" s="241">
        <f t="shared" si="9"/>
        <v>-1.2116083209226651</v>
      </c>
      <c r="R76" s="241">
        <f t="shared" si="10"/>
        <v>-1032.4043853536359</v>
      </c>
      <c r="S76" s="241">
        <f t="shared" si="11"/>
        <v>1062.9929899020449</v>
      </c>
      <c r="T76" s="245">
        <f t="shared" si="12"/>
        <v>1.1826114112076352E-5</v>
      </c>
    </row>
    <row r="77" spans="1:20" ht="15.75" x14ac:dyDescent="0.3">
      <c r="D77" s="33"/>
      <c r="E77" s="147"/>
      <c r="G77" s="248" t="s">
        <v>230</v>
      </c>
      <c r="H77" s="242">
        <f>J76/(2*PI())</f>
        <v>884.18285843478918</v>
      </c>
      <c r="I77" s="246"/>
      <c r="J77" s="241"/>
      <c r="K77" s="247"/>
      <c r="P77" s="25">
        <f t="shared" si="8"/>
        <v>3.8776841200323542</v>
      </c>
      <c r="Q77" s="241">
        <f t="shared" si="9"/>
        <v>-2.1662648357714862</v>
      </c>
      <c r="R77" s="241">
        <f t="shared" si="10"/>
        <v>-1000.0340090406353</v>
      </c>
      <c r="S77" s="241">
        <f t="shared" si="11"/>
        <v>1032.0318998700484</v>
      </c>
      <c r="T77" s="245">
        <f t="shared" si="12"/>
        <v>6.4517193163550333E-5</v>
      </c>
    </row>
    <row r="78" spans="1:20" ht="15.75" x14ac:dyDescent="0.3">
      <c r="I78" s="241"/>
      <c r="J78" s="241" t="s">
        <v>232</v>
      </c>
      <c r="K78" s="241"/>
      <c r="P78" s="25">
        <f t="shared" si="8"/>
        <v>3.9003018378726124</v>
      </c>
      <c r="Q78" s="241">
        <f t="shared" si="9"/>
        <v>-3.0836006781872913</v>
      </c>
      <c r="R78" s="241">
        <f t="shared" si="10"/>
        <v>-952.02808144759251</v>
      </c>
      <c r="S78" s="241">
        <f t="shared" si="11"/>
        <v>985.38016490826283</v>
      </c>
      <c r="T78" s="245">
        <f t="shared" si="12"/>
        <v>1.5584222745604692E-4</v>
      </c>
    </row>
    <row r="79" spans="1:20" ht="14.25" x14ac:dyDescent="0.25">
      <c r="H79" s="249" t="s">
        <v>233</v>
      </c>
      <c r="I79" s="250" t="s">
        <v>878</v>
      </c>
      <c r="J79" s="250" t="s">
        <v>234</v>
      </c>
      <c r="K79" s="250" t="s">
        <v>235</v>
      </c>
      <c r="L79" s="250" t="s">
        <v>386</v>
      </c>
      <c r="M79" s="250" t="s">
        <v>390</v>
      </c>
      <c r="P79" s="25">
        <f t="shared" si="8"/>
        <v>3.9229195557128711</v>
      </c>
      <c r="Q79" s="241">
        <f t="shared" si="9"/>
        <v>-3.9492989699211161</v>
      </c>
      <c r="R79" s="241">
        <f t="shared" si="10"/>
        <v>-889.19506412494115</v>
      </c>
      <c r="S79" s="241">
        <f t="shared" si="11"/>
        <v>923.8251116565134</v>
      </c>
      <c r="T79" s="245">
        <f t="shared" si="12"/>
        <v>2.7967756617609525E-4</v>
      </c>
    </row>
    <row r="80" spans="1:20" x14ac:dyDescent="0.2">
      <c r="H80" s="2" t="s">
        <v>236</v>
      </c>
      <c r="I80" s="242" t="s">
        <v>237</v>
      </c>
      <c r="J80" s="242" t="s">
        <v>238</v>
      </c>
      <c r="K80" s="242" t="s">
        <v>238</v>
      </c>
      <c r="L80" s="242" t="s">
        <v>385</v>
      </c>
      <c r="M80" s="242" t="s">
        <v>238</v>
      </c>
      <c r="P80" s="25">
        <f t="shared" si="8"/>
        <v>3.9455372735531289</v>
      </c>
      <c r="Q80" s="241">
        <f t="shared" si="9"/>
        <v>-4.7499040298330897</v>
      </c>
      <c r="R80" s="241">
        <f t="shared" si="10"/>
        <v>-812.57413412594599</v>
      </c>
      <c r="S80" s="241">
        <f t="shared" si="11"/>
        <v>848.38605357677613</v>
      </c>
      <c r="T80" s="245">
        <f t="shared" si="12"/>
        <v>4.2790535490297551E-4</v>
      </c>
    </row>
    <row r="81" spans="1:20" x14ac:dyDescent="0.2">
      <c r="H81" s="2">
        <v>0</v>
      </c>
      <c r="I81" s="114">
        <f>(E68/(2*J76*E70))*EXP(-H81*J68)*SIN(J76*H81)+I61*EXP(-H81*J68)*COS(J76*H81)</f>
        <v>7.9999999999999964</v>
      </c>
      <c r="J81" s="242">
        <f>E68-I81*E69-K81</f>
        <v>16.990212843392513</v>
      </c>
      <c r="K81" s="242">
        <f>E68*(1-EXP(-J68*H81)*(COS(J76*H81)+(J68/J76)*SIN(H81*J76)))+B74*SQRT(E70/E71)*EXP(-H81*J68)*SIN(J76*H81)</f>
        <v>0</v>
      </c>
      <c r="L81" s="2">
        <f t="shared" ref="L81:L112" si="13">-0.001*$B$20*J81</f>
        <v>-1.325236601784616</v>
      </c>
      <c r="M81">
        <f t="shared" ref="M81:M112" si="14">I81*E$69</f>
        <v>11.80978715660749</v>
      </c>
      <c r="P81" s="25">
        <f t="shared" si="8"/>
        <v>3.9681549913933871</v>
      </c>
      <c r="Q81" s="241">
        <f t="shared" si="9"/>
        <v>-5.4730303203062034</v>
      </c>
      <c r="R81" s="241">
        <f t="shared" si="10"/>
        <v>-723.41804620783671</v>
      </c>
      <c r="S81" s="241">
        <f t="shared" si="11"/>
        <v>760.29746160589616</v>
      </c>
      <c r="T81" s="245">
        <f t="shared" si="12"/>
        <v>5.9093530073442706E-4</v>
      </c>
    </row>
    <row r="82" spans="1:20" x14ac:dyDescent="0.2">
      <c r="H82" s="2">
        <f t="shared" ref="H82:H113" si="15">H81+$B$75</f>
        <v>2.2617717840258393E-5</v>
      </c>
      <c r="I82" s="114">
        <f t="shared" ref="I82:I113" si="16">($E$68/(2*$J$76*$E$70))*EXP(-H82*$J$68)*SIN($J$76*H82)+$I$61*EXP(-H82*$J$68)*COS($J$76*H82)</f>
        <v>7.9563169900745097</v>
      </c>
      <c r="J82" s="242">
        <f t="shared" ref="J82:J113" si="17">$E$68-I82*$E$69-K82</f>
        <v>-117.39895145611051</v>
      </c>
      <c r="K82" s="242">
        <f t="shared" ref="K82:K113" si="18">E$68*(1-EXP(-J$68*H82)*(COS(J$76*H82)+(J$68/J$76)*SIN(H82*J$76)))+B$74*SQRT(E$70/E$71)*EXP(-H82*J$68)*SIN(J$76*H82)</f>
        <v>134.45365018070052</v>
      </c>
      <c r="L82" s="2">
        <f t="shared" si="13"/>
        <v>9.15711821357662</v>
      </c>
      <c r="M82">
        <f t="shared" si="14"/>
        <v>11.745301275409993</v>
      </c>
      <c r="P82" s="25">
        <f t="shared" si="8"/>
        <v>3.9907727092336458</v>
      </c>
      <c r="Q82" s="241">
        <f t="shared" si="9"/>
        <v>-6.1075538416347515</v>
      </c>
      <c r="R82" s="241">
        <f t="shared" si="10"/>
        <v>-623.17269017359979</v>
      </c>
      <c r="S82" s="241">
        <f t="shared" si="11"/>
        <v>660.98880403825319</v>
      </c>
      <c r="T82" s="245">
        <f t="shared" si="12"/>
        <v>7.5831513643179378E-4</v>
      </c>
    </row>
    <row r="83" spans="1:20" x14ac:dyDescent="0.2">
      <c r="H83" s="2">
        <f t="shared" si="15"/>
        <v>4.5235435680516786E-5</v>
      </c>
      <c r="I83" s="114">
        <f t="shared" si="16"/>
        <v>7.78751661448565</v>
      </c>
      <c r="J83" s="242">
        <f t="shared" si="17"/>
        <v>-249.4872091544037</v>
      </c>
      <c r="K83" s="242">
        <f t="shared" si="18"/>
        <v>266.7910949424512</v>
      </c>
      <c r="L83" s="2">
        <f t="shared" si="13"/>
        <v>19.460002314043489</v>
      </c>
      <c r="M83">
        <f t="shared" si="14"/>
        <v>11.496114211952515</v>
      </c>
      <c r="P83" s="25">
        <f t="shared" si="8"/>
        <v>4.0133904270739045</v>
      </c>
      <c r="Q83" s="241">
        <f t="shared" si="9"/>
        <v>-6.6437830201777075</v>
      </c>
      <c r="R83" s="241">
        <f t="shared" si="10"/>
        <v>-513.45367633379021</v>
      </c>
      <c r="S83" s="241">
        <f t="shared" si="11"/>
        <v>552.0613842566629</v>
      </c>
      <c r="T83" s="245">
        <f t="shared" si="12"/>
        <v>9.1939095857317458E-4</v>
      </c>
    </row>
    <row r="84" spans="1:20" x14ac:dyDescent="0.2">
      <c r="H84" s="2">
        <f t="shared" si="15"/>
        <v>6.7853153520775183E-5</v>
      </c>
      <c r="I84" s="114">
        <f t="shared" si="16"/>
        <v>7.4966778211988343</v>
      </c>
      <c r="J84" s="242">
        <f t="shared" si="17"/>
        <v>-377.20270770061859</v>
      </c>
      <c r="K84" s="242">
        <f t="shared" si="18"/>
        <v>394.93593651936629</v>
      </c>
      <c r="L84" s="2">
        <f t="shared" si="13"/>
        <v>29.42181120064825</v>
      </c>
      <c r="M84">
        <f t="shared" si="14"/>
        <v>11.066771181252282</v>
      </c>
      <c r="P84" s="25">
        <f t="shared" si="8"/>
        <v>4.0360081449141632</v>
      </c>
      <c r="Q84" s="241">
        <f t="shared" si="9"/>
        <v>-7.0736064688669265</v>
      </c>
      <c r="R84" s="241">
        <f t="shared" si="10"/>
        <v>-396.02032773570619</v>
      </c>
      <c r="S84" s="241">
        <f t="shared" si="11"/>
        <v>435.26255108907122</v>
      </c>
      <c r="T84" s="245">
        <f t="shared" si="12"/>
        <v>1.0639757525396367E-3</v>
      </c>
    </row>
    <row r="85" spans="1:20" x14ac:dyDescent="0.2">
      <c r="H85" s="2">
        <f t="shared" si="15"/>
        <v>9.0470871361033573E-5</v>
      </c>
      <c r="I85" s="114">
        <f t="shared" si="16"/>
        <v>7.0887905656091021</v>
      </c>
      <c r="J85" s="242">
        <f t="shared" si="17"/>
        <v>-498.54941663732995</v>
      </c>
      <c r="K85" s="242">
        <f t="shared" si="18"/>
        <v>516.88477816512864</v>
      </c>
      <c r="L85" s="2">
        <f t="shared" si="13"/>
        <v>38.886854497711738</v>
      </c>
      <c r="M85">
        <f t="shared" si="14"/>
        <v>10.464638472201344</v>
      </c>
      <c r="P85" s="25">
        <f t="shared" si="8"/>
        <v>4.0586258627544218</v>
      </c>
      <c r="Q85" s="241">
        <f t="shared" si="9"/>
        <v>-7.3906153716101777</v>
      </c>
      <c r="R85" s="241">
        <f t="shared" si="10"/>
        <v>-272.74749736007573</v>
      </c>
      <c r="S85" s="241">
        <f t="shared" si="11"/>
        <v>312.45769667195918</v>
      </c>
      <c r="T85" s="245">
        <f t="shared" si="12"/>
        <v>1.1829841847842326E-3</v>
      </c>
    </row>
    <row r="86" spans="1:20" ht="15.75" x14ac:dyDescent="0.3">
      <c r="A86" s="33"/>
      <c r="B86" s="18"/>
      <c r="C86" s="18"/>
      <c r="D86" s="116" t="s">
        <v>356</v>
      </c>
      <c r="E86" s="116" t="s">
        <v>357</v>
      </c>
      <c r="H86" s="2">
        <f t="shared" si="15"/>
        <v>1.1308858920129196E-4</v>
      </c>
      <c r="I86" s="114">
        <f t="shared" si="16"/>
        <v>6.570670812961378</v>
      </c>
      <c r="J86" s="242">
        <f t="shared" si="17"/>
        <v>-611.63829781768754</v>
      </c>
      <c r="K86" s="242">
        <f t="shared" si="18"/>
        <v>630.73851984553664</v>
      </c>
      <c r="L86" s="2">
        <f t="shared" si="13"/>
        <v>47.707787229779626</v>
      </c>
      <c r="M86">
        <f t="shared" si="14"/>
        <v>9.6997779721508763</v>
      </c>
      <c r="P86" s="25">
        <f t="shared" si="8"/>
        <v>4.0812435805946787</v>
      </c>
      <c r="Q86" s="241">
        <f t="shared" si="9"/>
        <v>-7.590198650223182</v>
      </c>
      <c r="R86" s="241">
        <f t="shared" si="10"/>
        <v>-145.59566132080064</v>
      </c>
      <c r="S86" s="241">
        <f t="shared" si="11"/>
        <v>185.6004901377388</v>
      </c>
      <c r="T86" s="245">
        <f t="shared" si="12"/>
        <v>1.2689941371149087E-3</v>
      </c>
    </row>
    <row r="87" spans="1:20" x14ac:dyDescent="0.2">
      <c r="A87" s="85"/>
      <c r="B87" s="18"/>
      <c r="C87" s="18"/>
      <c r="D87" s="85"/>
      <c r="E87" s="255"/>
      <c r="H87" s="90">
        <f t="shared" si="15"/>
        <v>1.3570630704155037E-4</v>
      </c>
      <c r="I87" s="281">
        <f t="shared" si="16"/>
        <v>5.9508470782624805</v>
      </c>
      <c r="J87" s="282">
        <f t="shared" si="17"/>
        <v>-714.71668616259944</v>
      </c>
      <c r="K87" s="282">
        <f t="shared" si="18"/>
        <v>734.73190648812454</v>
      </c>
      <c r="L87" s="90">
        <f t="shared" si="13"/>
        <v>55.74790152068276</v>
      </c>
      <c r="M87">
        <f t="shared" si="14"/>
        <v>8.7847796744749349</v>
      </c>
      <c r="P87" s="25">
        <f t="shared" si="8"/>
        <v>4.1038612984349374</v>
      </c>
      <c r="Q87" s="241">
        <f t="shared" si="9"/>
        <v>-7.6696095072384809</v>
      </c>
      <c r="R87" s="241">
        <f t="shared" si="10"/>
        <v>-16.579764727055739</v>
      </c>
      <c r="S87" s="241">
        <f t="shared" si="11"/>
        <v>56.701821708903211</v>
      </c>
      <c r="T87" s="245">
        <f t="shared" si="12"/>
        <v>1.3167003110643922E-3</v>
      </c>
    </row>
    <row r="88" spans="1:20" x14ac:dyDescent="0.2">
      <c r="A88" s="33"/>
      <c r="B88" s="18"/>
      <c r="C88" s="18"/>
      <c r="D88" s="85"/>
      <c r="E88" s="255"/>
      <c r="H88" s="2">
        <f t="shared" si="15"/>
        <v>1.5832402488180877E-4</v>
      </c>
      <c r="I88" s="114">
        <f t="shared" si="16"/>
        <v>5.2394203858550972</v>
      </c>
      <c r="J88" s="242">
        <f t="shared" si="17"/>
        <v>-806.19542441277338</v>
      </c>
      <c r="K88" s="242">
        <f t="shared" si="18"/>
        <v>827.26086946515602</v>
      </c>
      <c r="L88" s="2">
        <f t="shared" si="13"/>
        <v>62.883243104196325</v>
      </c>
      <c r="M88">
        <f t="shared" si="14"/>
        <v>7.7345549476173767</v>
      </c>
      <c r="P88" s="25">
        <f t="shared" si="8"/>
        <v>4.1264790162751961</v>
      </c>
      <c r="Q88" s="241">
        <f t="shared" si="9"/>
        <v>-7.6280023933350458</v>
      </c>
      <c r="R88" s="241">
        <f t="shared" si="10"/>
        <v>112.2626851000697</v>
      </c>
      <c r="S88" s="241">
        <f t="shared" si="11"/>
        <v>-72.202049513147273</v>
      </c>
      <c r="T88" s="245">
        <f t="shared" si="12"/>
        <v>1.3232322223574876E-3</v>
      </c>
    </row>
    <row r="89" spans="1:20" ht="15.75" x14ac:dyDescent="0.3">
      <c r="E89" t="s">
        <v>376</v>
      </c>
      <c r="H89" s="2">
        <f t="shared" si="15"/>
        <v>1.8094174272206717E-4</v>
      </c>
      <c r="I89" s="114">
        <f t="shared" si="16"/>
        <v>4.4478999429670436</v>
      </c>
      <c r="J89" s="242">
        <f t="shared" si="17"/>
        <v>-884.67333222906257</v>
      </c>
      <c r="K89" s="242">
        <f t="shared" si="18"/>
        <v>906.90723827652164</v>
      </c>
      <c r="L89" s="2">
        <f t="shared" si="13"/>
        <v>69.004519913866886</v>
      </c>
      <c r="M89">
        <f t="shared" si="14"/>
        <v>6.5660939525409248</v>
      </c>
      <c r="P89" s="25">
        <f t="shared" si="8"/>
        <v>4.1490967341154548</v>
      </c>
      <c r="Q89" s="241">
        <f t="shared" si="9"/>
        <v>-7.4664399169716109</v>
      </c>
      <c r="R89" s="241">
        <f t="shared" si="10"/>
        <v>238.90377318047101</v>
      </c>
      <c r="S89" s="241">
        <f t="shared" si="11"/>
        <v>-199.08163990084191</v>
      </c>
      <c r="T89" s="245">
        <f t="shared" si="12"/>
        <v>1.2883175838000558E-3</v>
      </c>
    </row>
    <row r="90" spans="1:20" x14ac:dyDescent="0.2">
      <c r="H90" s="2">
        <f t="shared" si="15"/>
        <v>2.0355946056232558E-4</v>
      </c>
      <c r="I90" s="114">
        <f t="shared" si="16"/>
        <v>3.5890171961825703</v>
      </c>
      <c r="J90" s="242">
        <f t="shared" si="17"/>
        <v>-948.95863337588355</v>
      </c>
      <c r="K90" s="242">
        <f t="shared" si="18"/>
        <v>972.46044222734349</v>
      </c>
      <c r="L90" s="2">
        <f t="shared" si="13"/>
        <v>74.018773403318917</v>
      </c>
      <c r="M90">
        <f t="shared" si="14"/>
        <v>5.2981911485400452</v>
      </c>
      <c r="P90" s="25">
        <f t="shared" si="8"/>
        <v>4.1717144519557134</v>
      </c>
      <c r="Q90" s="241">
        <f t="shared" si="9"/>
        <v>-7.187869688662099</v>
      </c>
      <c r="R90" s="241">
        <f t="shared" si="10"/>
        <v>361.35707212090136</v>
      </c>
      <c r="S90" s="241">
        <f t="shared" si="11"/>
        <v>-321.94617072933511</v>
      </c>
      <c r="T90" s="245">
        <f t="shared" si="12"/>
        <v>1.2142818847897113E-3</v>
      </c>
    </row>
    <row r="91" spans="1:20" x14ac:dyDescent="0.2">
      <c r="A91" s="33"/>
      <c r="B91" s="27"/>
      <c r="H91" s="2">
        <f t="shared" si="15"/>
        <v>2.2617717840258398E-4</v>
      </c>
      <c r="I91" s="114">
        <f t="shared" si="16"/>
        <v>2.6765212711343116</v>
      </c>
      <c r="J91" s="242">
        <f t="shared" si="17"/>
        <v>-998.0870138816158</v>
      </c>
      <c r="K91" s="242">
        <f t="shared" si="18"/>
        <v>1022.9358705650872</v>
      </c>
      <c r="L91" s="2">
        <f t="shared" si="13"/>
        <v>77.850787082766033</v>
      </c>
      <c r="M91">
        <f t="shared" si="14"/>
        <v>3.951143316528595</v>
      </c>
      <c r="P91" s="25">
        <f t="shared" si="8"/>
        <v>4.1943321697959721</v>
      </c>
      <c r="Q91" s="241">
        <f t="shared" si="9"/>
        <v>-6.7970715657068093</v>
      </c>
      <c r="R91" s="241">
        <f t="shared" si="10"/>
        <v>477.70877676743748</v>
      </c>
      <c r="S91" s="241">
        <f t="shared" si="11"/>
        <v>-438.87478070753423</v>
      </c>
      <c r="T91" s="245">
        <f t="shared" si="12"/>
        <v>1.1058852951860226E-3</v>
      </c>
    </row>
    <row r="92" spans="1:20" ht="15.75" x14ac:dyDescent="0.3">
      <c r="A92" s="33"/>
      <c r="B92" s="276"/>
      <c r="D92" s="2" t="s">
        <v>371</v>
      </c>
      <c r="E92" t="s">
        <v>372</v>
      </c>
      <c r="H92" s="2">
        <f t="shared" si="15"/>
        <v>2.4879489624284235E-4</v>
      </c>
      <c r="I92" s="114">
        <f t="shared" si="16"/>
        <v>1.7249590787135847</v>
      </c>
      <c r="J92" s="242">
        <f t="shared" si="17"/>
        <v>-1031.3360382134642</v>
      </c>
      <c r="K92" s="242">
        <f t="shared" si="18"/>
        <v>1057.589613266781</v>
      </c>
      <c r="L92" s="2">
        <f t="shared" si="13"/>
        <v>80.444210980650212</v>
      </c>
      <c r="M92">
        <f t="shared" si="14"/>
        <v>2.5464249466831488</v>
      </c>
      <c r="P92" s="25">
        <f t="shared" si="8"/>
        <v>4.2169498876362308</v>
      </c>
      <c r="Q92" s="241">
        <f t="shared" si="9"/>
        <v>-6.3005762276403363</v>
      </c>
      <c r="R92" s="241">
        <f t="shared" si="10"/>
        <v>586.14759064112172</v>
      </c>
      <c r="S92" s="241">
        <f t="shared" si="11"/>
        <v>-548.04653261457008</v>
      </c>
      <c r="T92" s="245">
        <f t="shared" si="12"/>
        <v>9.7000820079819151E-4</v>
      </c>
    </row>
    <row r="93" spans="1:20" x14ac:dyDescent="0.2">
      <c r="A93" s="33"/>
      <c r="B93" s="277"/>
      <c r="H93" s="2">
        <f t="shared" si="15"/>
        <v>2.7141261408310073E-4</v>
      </c>
      <c r="I93" s="114">
        <f t="shared" si="16"/>
        <v>0.74944360145057121</v>
      </c>
      <c r="J93" s="242">
        <f t="shared" si="17"/>
        <v>-1048.2357087630228</v>
      </c>
      <c r="K93" s="242">
        <f t="shared" si="18"/>
        <v>1075.9293625856462</v>
      </c>
      <c r="L93" s="2">
        <f t="shared" si="13"/>
        <v>81.762385283515783</v>
      </c>
      <c r="M93">
        <f t="shared" si="14"/>
        <v>1.1063461773765777</v>
      </c>
      <c r="P93" s="25">
        <f t="shared" si="8"/>
        <v>4.2395676054764877</v>
      </c>
      <c r="Q93" s="241">
        <f t="shared" si="9"/>
        <v>-5.7065564608944701</v>
      </c>
      <c r="R93" s="241">
        <f t="shared" si="10"/>
        <v>684.99289782744768</v>
      </c>
      <c r="S93" s="241">
        <f t="shared" si="11"/>
        <v>-647.76874567740674</v>
      </c>
      <c r="T93" s="245">
        <f t="shared" si="12"/>
        <v>8.1520608074007279E-4</v>
      </c>
    </row>
    <row r="94" spans="1:20" x14ac:dyDescent="0.2">
      <c r="E94" s="33" t="s">
        <v>259</v>
      </c>
      <c r="H94" s="2">
        <f t="shared" si="15"/>
        <v>2.9403033192335911E-4</v>
      </c>
      <c r="I94" s="114">
        <f t="shared" si="16"/>
        <v>-0.23458595202501364</v>
      </c>
      <c r="J94" s="242">
        <f t="shared" si="17"/>
        <v>-1048.5750153816459</v>
      </c>
      <c r="K94" s="242">
        <f t="shared" si="18"/>
        <v>1077.7213166520642</v>
      </c>
      <c r="L94" s="2">
        <f t="shared" si="13"/>
        <v>81.788851199768388</v>
      </c>
      <c r="M94">
        <f t="shared" si="14"/>
        <v>-0.34630127041819353</v>
      </c>
      <c r="P94" s="25">
        <f t="shared" ref="P94:P125" si="19">1000*($H$61+H113)</f>
        <v>4.2621853233167464</v>
      </c>
      <c r="Q94" s="241">
        <f t="shared" ref="Q94:Q125" si="20">I113</f>
        <v>-5.0246929561988489</v>
      </c>
      <c r="R94" s="241">
        <f t="shared" ref="R94:R125" si="21">J113</f>
        <v>772.72078255466465</v>
      </c>
      <c r="S94" s="241">
        <f t="shared" ref="S94:S125" si="22">K113</f>
        <v>-736.50321326216294</v>
      </c>
      <c r="T94" s="245">
        <f t="shared" si="12"/>
        <v>6.5116247974749276E-4</v>
      </c>
    </row>
    <row r="95" spans="1:20" x14ac:dyDescent="0.2">
      <c r="H95" s="2">
        <f t="shared" si="15"/>
        <v>3.1664804976361748E-4</v>
      </c>
      <c r="I95" s="114">
        <f t="shared" si="16"/>
        <v>-1.2116083209226651</v>
      </c>
      <c r="J95" s="242">
        <f t="shared" si="17"/>
        <v>-1032.4043853536359</v>
      </c>
      <c r="K95" s="242">
        <f t="shared" si="18"/>
        <v>1062.9929899020449</v>
      </c>
      <c r="L95" s="2">
        <f t="shared" si="13"/>
        <v>80.527542057583602</v>
      </c>
      <c r="M95">
        <f t="shared" si="14"/>
        <v>-1.7886045484089079</v>
      </c>
      <c r="P95" s="25">
        <f t="shared" si="19"/>
        <v>4.2848030411570051</v>
      </c>
      <c r="Q95" s="214">
        <f t="shared" si="20"/>
        <v>-4.2660168174407103</v>
      </c>
      <c r="R95" s="214">
        <f t="shared" si="21"/>
        <v>847.98749405614637</v>
      </c>
      <c r="S95" s="214">
        <f t="shared" si="22"/>
        <v>-812.88990022858604</v>
      </c>
      <c r="T95" s="245">
        <f t="shared" si="12"/>
        <v>4.8807501673422987E-4</v>
      </c>
    </row>
    <row r="96" spans="1:20" x14ac:dyDescent="0.2">
      <c r="H96" s="2">
        <f t="shared" si="15"/>
        <v>3.3926576760387586E-4</v>
      </c>
      <c r="I96" s="114">
        <f t="shared" si="16"/>
        <v>-2.1662648357714862</v>
      </c>
      <c r="J96" s="242">
        <f t="shared" si="17"/>
        <v>-1000.0340090406353</v>
      </c>
      <c r="K96" s="242">
        <f t="shared" si="18"/>
        <v>1032.0318998700484</v>
      </c>
      <c r="L96" s="2">
        <f t="shared" si="13"/>
        <v>78.002652705169552</v>
      </c>
      <c r="M96">
        <f t="shared" si="14"/>
        <v>-3.1978908294130677</v>
      </c>
      <c r="N96" s="241"/>
      <c r="O96" s="241"/>
      <c r="P96" s="25">
        <f t="shared" si="19"/>
        <v>4.3074207589972637</v>
      </c>
      <c r="Q96" s="214">
        <f t="shared" si="20"/>
        <v>-3.4427313399560173</v>
      </c>
      <c r="R96" s="214">
        <f t="shared" si="21"/>
        <v>909.64999588874855</v>
      </c>
      <c r="S96" s="214">
        <f t="shared" si="22"/>
        <v>-875.76775534346575</v>
      </c>
      <c r="T96" s="245">
        <f t="shared" si="12"/>
        <v>3.36013329341321E-4</v>
      </c>
    </row>
    <row r="97" spans="4:20" ht="15.75" x14ac:dyDescent="0.3">
      <c r="D97" s="2" t="s">
        <v>373</v>
      </c>
      <c r="E97" t="s">
        <v>374</v>
      </c>
      <c r="H97" s="2">
        <f t="shared" si="15"/>
        <v>3.6188348544413424E-4</v>
      </c>
      <c r="I97" s="114">
        <f t="shared" si="16"/>
        <v>-3.0836006781872913</v>
      </c>
      <c r="J97" s="242">
        <f t="shared" si="17"/>
        <v>-952.02808144759251</v>
      </c>
      <c r="K97" s="242">
        <f t="shared" si="18"/>
        <v>985.38016490826283</v>
      </c>
      <c r="L97" s="2">
        <f t="shared" si="13"/>
        <v>74.258190352912223</v>
      </c>
      <c r="M97">
        <f t="shared" si="14"/>
        <v>-4.5520834606703042</v>
      </c>
      <c r="N97" s="241"/>
      <c r="O97" s="241"/>
      <c r="P97" s="25">
        <f t="shared" si="19"/>
        <v>4.3300384768375224</v>
      </c>
      <c r="Q97" s="214">
        <f t="shared" si="20"/>
        <v>-2.5680159339925424</v>
      </c>
      <c r="R97" s="214">
        <f t="shared" si="21"/>
        <v>956.783285996617</v>
      </c>
      <c r="S97" s="214">
        <f t="shared" si="22"/>
        <v>-924.19232079721337</v>
      </c>
      <c r="T97" s="245">
        <f t="shared" si="12"/>
        <v>2.0428935010012938E-4</v>
      </c>
    </row>
    <row r="98" spans="4:20" ht="15.75" x14ac:dyDescent="0.3">
      <c r="F98" s="2" t="s">
        <v>375</v>
      </c>
      <c r="H98" s="2">
        <f t="shared" si="15"/>
        <v>3.8450120328439261E-4</v>
      </c>
      <c r="I98" s="114">
        <f t="shared" si="16"/>
        <v>-3.9492989699211161</v>
      </c>
      <c r="J98" s="242">
        <f t="shared" si="17"/>
        <v>-889.19506412494115</v>
      </c>
      <c r="K98" s="242">
        <f t="shared" si="18"/>
        <v>923.8251116565134</v>
      </c>
      <c r="L98" s="2">
        <f t="shared" si="13"/>
        <v>69.357215001745416</v>
      </c>
      <c r="M98">
        <f t="shared" si="14"/>
        <v>-5.8300475315722009</v>
      </c>
      <c r="N98" s="241"/>
      <c r="O98" s="241"/>
      <c r="P98" s="25">
        <f t="shared" si="19"/>
        <v>4.3526561946777811</v>
      </c>
      <c r="Q98" s="214">
        <f t="shared" si="20"/>
        <v>-1.6558153405079397</v>
      </c>
      <c r="R98" s="214">
        <f t="shared" si="21"/>
        <v>988.6942257078548</v>
      </c>
      <c r="S98" s="214">
        <f t="shared" si="22"/>
        <v>-957.44987236509928</v>
      </c>
      <c r="T98" s="245">
        <f t="shared" si="12"/>
        <v>1.008792659827467E-4</v>
      </c>
    </row>
    <row r="99" spans="4:20" x14ac:dyDescent="0.2">
      <c r="H99" s="2">
        <f t="shared" si="15"/>
        <v>4.0711892112465099E-4</v>
      </c>
      <c r="I99" s="114">
        <f t="shared" si="16"/>
        <v>-4.7499040298330897</v>
      </c>
      <c r="J99" s="242">
        <f t="shared" si="17"/>
        <v>-812.57413412594599</v>
      </c>
      <c r="K99" s="242">
        <f t="shared" si="18"/>
        <v>848.38605357677613</v>
      </c>
      <c r="L99" s="2">
        <f t="shared" si="13"/>
        <v>63.380782461823785</v>
      </c>
      <c r="M99">
        <f t="shared" si="14"/>
        <v>-7.0119194508301259</v>
      </c>
      <c r="N99" s="241"/>
      <c r="O99" s="241"/>
      <c r="P99" s="25">
        <f t="shared" si="19"/>
        <v>4.3752739125180389</v>
      </c>
      <c r="Q99" s="214">
        <f t="shared" si="20"/>
        <v>-0.7206175074252239</v>
      </c>
      <c r="R99" s="214">
        <f t="shared" si="21"/>
        <v>1004.9316716965944</v>
      </c>
      <c r="S99" s="214">
        <f t="shared" si="22"/>
        <v>-975.06787927359233</v>
      </c>
      <c r="T99" s="245">
        <f t="shared" si="12"/>
        <v>3.1933011985454615E-5</v>
      </c>
    </row>
    <row r="100" spans="4:20" x14ac:dyDescent="0.2">
      <c r="H100" s="2">
        <f t="shared" si="15"/>
        <v>4.2973663896490936E-4</v>
      </c>
      <c r="I100" s="114">
        <f t="shared" si="16"/>
        <v>-5.4730303203062034</v>
      </c>
      <c r="J100" s="242">
        <f t="shared" si="17"/>
        <v>-723.41804620783671</v>
      </c>
      <c r="K100" s="242">
        <f t="shared" si="18"/>
        <v>760.29746160589616</v>
      </c>
      <c r="L100" s="2">
        <f t="shared" si="13"/>
        <v>56.426607604211263</v>
      </c>
      <c r="M100">
        <f t="shared" si="14"/>
        <v>-8.0794153980594512</v>
      </c>
      <c r="N100" s="241"/>
      <c r="O100" s="241"/>
      <c r="P100" s="25">
        <f t="shared" si="19"/>
        <v>4.3978916303582976</v>
      </c>
      <c r="Q100" s="214">
        <f t="shared" si="20"/>
        <v>0.22277633834449312</v>
      </c>
      <c r="R100" s="214">
        <f t="shared" si="21"/>
        <v>1005.2927638428652</v>
      </c>
      <c r="S100" s="214">
        <f t="shared" si="22"/>
        <v>-976.8216314852873</v>
      </c>
      <c r="T100" s="245">
        <f t="shared" ref="T100:T131" si="23">(0.5*(Q99+Q100))^2*0.001*(P100-P99)</f>
        <v>1.4014267606234769E-6</v>
      </c>
    </row>
    <row r="101" spans="4:20" x14ac:dyDescent="0.2">
      <c r="H101" s="2">
        <f t="shared" si="15"/>
        <v>4.5235435680516774E-4</v>
      </c>
      <c r="I101" s="114">
        <f t="shared" si="16"/>
        <v>-6.1075538416347515</v>
      </c>
      <c r="J101" s="242">
        <f t="shared" si="17"/>
        <v>-623.17269017359979</v>
      </c>
      <c r="K101" s="242">
        <f t="shared" si="18"/>
        <v>660.98880403825319</v>
      </c>
      <c r="L101" s="2">
        <f t="shared" si="13"/>
        <v>48.607469833540783</v>
      </c>
      <c r="M101">
        <f t="shared" si="14"/>
        <v>-9.0161138646533576</v>
      </c>
      <c r="N101" s="241"/>
      <c r="O101" s="241"/>
      <c r="P101" s="25">
        <f t="shared" si="19"/>
        <v>4.4205093481985562</v>
      </c>
      <c r="Q101" s="214">
        <f t="shared" si="20"/>
        <v>1.1594857768377529</v>
      </c>
      <c r="R101" s="214">
        <f t="shared" si="21"/>
        <v>989.82528293957125</v>
      </c>
      <c r="S101" s="214">
        <f t="shared" si="22"/>
        <v>-962.73694296901715</v>
      </c>
      <c r="T101" s="245">
        <f t="shared" si="23"/>
        <v>1.080362747760704E-5</v>
      </c>
    </row>
    <row r="102" spans="4:20" x14ac:dyDescent="0.2">
      <c r="H102" s="2">
        <f t="shared" si="15"/>
        <v>4.7497207464542612E-4</v>
      </c>
      <c r="I102" s="114">
        <f t="shared" si="16"/>
        <v>-6.6437830201777075</v>
      </c>
      <c r="J102" s="242">
        <f t="shared" si="17"/>
        <v>-513.45367633379021</v>
      </c>
      <c r="K102" s="242">
        <f t="shared" si="18"/>
        <v>552.0613842566629</v>
      </c>
      <c r="L102" s="2">
        <f t="shared" si="13"/>
        <v>40.049386754035638</v>
      </c>
      <c r="M102">
        <f t="shared" si="14"/>
        <v>-9.8077079228727051</v>
      </c>
      <c r="N102" s="241"/>
      <c r="O102" s="241"/>
      <c r="P102" s="25">
        <f t="shared" si="19"/>
        <v>4.443127066038814</v>
      </c>
      <c r="Q102" s="214">
        <f t="shared" si="20"/>
        <v>2.0747857394750051</v>
      </c>
      <c r="R102" s="214">
        <f t="shared" si="21"/>
        <v>958.82605436210872</v>
      </c>
      <c r="S102" s="214">
        <f t="shared" si="22"/>
        <v>-933.0889016094543</v>
      </c>
      <c r="T102" s="245">
        <f t="shared" si="23"/>
        <v>5.9148228584187152E-5</v>
      </c>
    </row>
    <row r="103" spans="4:20" x14ac:dyDescent="0.2">
      <c r="H103" s="2">
        <f t="shared" si="15"/>
        <v>4.9758979248568449E-4</v>
      </c>
      <c r="I103" s="114">
        <f t="shared" si="16"/>
        <v>-7.0736064688669265</v>
      </c>
      <c r="J103" s="242">
        <f t="shared" si="17"/>
        <v>-396.02032773570619</v>
      </c>
      <c r="K103" s="242">
        <f t="shared" si="18"/>
        <v>435.26255108907122</v>
      </c>
      <c r="L103" s="2">
        <f t="shared" si="13"/>
        <v>30.889585563385083</v>
      </c>
      <c r="M103">
        <f t="shared" si="14"/>
        <v>-10.442223353365041</v>
      </c>
      <c r="N103" s="241"/>
      <c r="O103" s="241"/>
      <c r="P103" s="25">
        <f t="shared" si="19"/>
        <v>4.4657447838790727</v>
      </c>
      <c r="Q103" s="214">
        <f t="shared" si="20"/>
        <v>2.9543378177793262</v>
      </c>
      <c r="R103" s="214">
        <f t="shared" si="21"/>
        <v>912.83543614907057</v>
      </c>
      <c r="S103" s="214">
        <f t="shared" si="22"/>
        <v>-888.3966987511568</v>
      </c>
      <c r="T103" s="245">
        <f t="shared" si="23"/>
        <v>1.4301230348577832E-4</v>
      </c>
    </row>
    <row r="104" spans="4:20" x14ac:dyDescent="0.2">
      <c r="H104" s="2">
        <f t="shared" si="15"/>
        <v>5.2020751032594292E-4</v>
      </c>
      <c r="I104" s="114">
        <f t="shared" si="16"/>
        <v>-7.3906153716101777</v>
      </c>
      <c r="J104" s="242">
        <f t="shared" si="17"/>
        <v>-272.74749736007573</v>
      </c>
      <c r="K104" s="242">
        <f t="shared" si="18"/>
        <v>312.45769667195918</v>
      </c>
      <c r="L104" s="2">
        <f t="shared" si="13"/>
        <v>21.274304794085907</v>
      </c>
      <c r="M104">
        <f t="shared" si="14"/>
        <v>-10.910199311883476</v>
      </c>
      <c r="N104" s="241"/>
      <c r="O104" s="241"/>
      <c r="P104" s="25">
        <f t="shared" si="19"/>
        <v>4.4883625017193314</v>
      </c>
      <c r="Q104" s="214">
        <f t="shared" si="20"/>
        <v>3.7844147055433455</v>
      </c>
      <c r="R104" s="214">
        <f t="shared" si="21"/>
        <v>852.62799146013367</v>
      </c>
      <c r="S104" s="214">
        <f t="shared" si="22"/>
        <v>-829.41463298323401</v>
      </c>
      <c r="T104" s="245">
        <f t="shared" si="23"/>
        <v>2.5677208373501057E-4</v>
      </c>
    </row>
    <row r="105" spans="4:20" x14ac:dyDescent="0.2">
      <c r="H105" s="2">
        <f t="shared" si="15"/>
        <v>5.4282522816620135E-4</v>
      </c>
      <c r="I105" s="114">
        <f t="shared" si="16"/>
        <v>-7.590198650223182</v>
      </c>
      <c r="J105" s="242">
        <f t="shared" si="17"/>
        <v>-145.59566132080064</v>
      </c>
      <c r="K105" s="242">
        <f t="shared" si="18"/>
        <v>185.6004901377388</v>
      </c>
      <c r="L105" s="2">
        <f t="shared" si="13"/>
        <v>11.356461583022451</v>
      </c>
      <c r="M105">
        <f t="shared" si="14"/>
        <v>-11.204828816938161</v>
      </c>
      <c r="N105" s="241"/>
      <c r="O105" s="241"/>
      <c r="P105" s="25">
        <f t="shared" si="19"/>
        <v>4.5109802195595901</v>
      </c>
      <c r="Q105" s="214">
        <f t="shared" si="20"/>
        <v>4.5521142639448806</v>
      </c>
      <c r="R105" s="214">
        <f t="shared" si="21"/>
        <v>779.19950511386071</v>
      </c>
      <c r="S105" s="214">
        <f t="shared" si="22"/>
        <v>-757.11944268507898</v>
      </c>
      <c r="T105" s="245">
        <f t="shared" si="23"/>
        <v>3.9296992856833384E-4</v>
      </c>
    </row>
    <row r="106" spans="4:20" x14ac:dyDescent="0.2">
      <c r="H106" s="2">
        <f t="shared" si="15"/>
        <v>5.6544294600645978E-4</v>
      </c>
      <c r="I106" s="114">
        <f t="shared" si="16"/>
        <v>-7.6696095072384809</v>
      </c>
      <c r="J106" s="242">
        <f t="shared" si="17"/>
        <v>-16.579764727055739</v>
      </c>
      <c r="K106" s="242">
        <f t="shared" si="18"/>
        <v>56.701821708903211</v>
      </c>
      <c r="L106" s="2">
        <f t="shared" si="13"/>
        <v>1.2932216487103476</v>
      </c>
      <c r="M106">
        <f t="shared" si="14"/>
        <v>-11.322056981847469</v>
      </c>
      <c r="N106" s="241"/>
      <c r="O106" s="241"/>
      <c r="P106" s="25">
        <f t="shared" si="19"/>
        <v>4.5335979373998478</v>
      </c>
      <c r="Q106" s="214">
        <f t="shared" si="20"/>
        <v>5.2455598743103202</v>
      </c>
      <c r="R106" s="214">
        <f t="shared" si="21"/>
        <v>693.75056092921511</v>
      </c>
      <c r="S106" s="214">
        <f t="shared" si="22"/>
        <v>-672.69417913332086</v>
      </c>
      <c r="T106" s="245">
        <f t="shared" si="23"/>
        <v>5.4279366807804814E-4</v>
      </c>
    </row>
    <row r="107" spans="4:20" x14ac:dyDescent="0.2">
      <c r="H107" s="2">
        <f t="shared" si="15"/>
        <v>5.8806066384671821E-4</v>
      </c>
      <c r="I107" s="114">
        <f t="shared" si="16"/>
        <v>-7.6280023933350458</v>
      </c>
      <c r="J107" s="242">
        <f t="shared" si="17"/>
        <v>112.2626851000697</v>
      </c>
      <c r="K107" s="242">
        <f t="shared" si="18"/>
        <v>-72.202049513147273</v>
      </c>
      <c r="L107" s="2">
        <f t="shared" si="13"/>
        <v>-8.7564894378054365</v>
      </c>
      <c r="M107">
        <f t="shared" si="14"/>
        <v>-11.260635586922433</v>
      </c>
      <c r="N107" s="241"/>
      <c r="O107" s="241"/>
      <c r="P107" s="25">
        <f t="shared" si="19"/>
        <v>4.5562156552401056</v>
      </c>
      <c r="Q107" s="214">
        <f t="shared" si="20"/>
        <v>5.8540839703446022</v>
      </c>
      <c r="R107" s="214">
        <f t="shared" si="21"/>
        <v>597.66695001155688</v>
      </c>
      <c r="S107" s="214">
        <f t="shared" si="22"/>
        <v>-577.5088857223916</v>
      </c>
      <c r="T107" s="245">
        <f t="shared" si="23"/>
        <v>6.9663754690466831E-4</v>
      </c>
    </row>
    <row r="108" spans="4:20" x14ac:dyDescent="0.2">
      <c r="H108" s="2">
        <f t="shared" si="15"/>
        <v>6.1067838168697664E-4</v>
      </c>
      <c r="I108" s="114">
        <f t="shared" si="16"/>
        <v>-7.4664399169716109</v>
      </c>
      <c r="J108" s="242">
        <f t="shared" si="17"/>
        <v>238.90377318047101</v>
      </c>
      <c r="K108" s="242">
        <f t="shared" si="18"/>
        <v>-199.08163990084191</v>
      </c>
      <c r="L108" s="2">
        <f t="shared" si="13"/>
        <v>-18.634494308076739</v>
      </c>
      <c r="M108">
        <f t="shared" si="14"/>
        <v>-11.022133279629108</v>
      </c>
      <c r="N108" s="241"/>
      <c r="O108" s="241"/>
      <c r="P108" s="25">
        <f t="shared" si="19"/>
        <v>4.5788333730803643</v>
      </c>
      <c r="Q108" s="214">
        <f t="shared" si="20"/>
        <v>6.3683919169367194</v>
      </c>
      <c r="R108" s="214">
        <f t="shared" si="21"/>
        <v>492.49722910784385</v>
      </c>
      <c r="S108" s="214">
        <f t="shared" si="22"/>
        <v>-473.09839824145411</v>
      </c>
      <c r="T108" s="245">
        <f t="shared" si="23"/>
        <v>8.4470909224686631E-4</v>
      </c>
    </row>
    <row r="109" spans="4:20" x14ac:dyDescent="0.2">
      <c r="H109" s="2">
        <f t="shared" si="15"/>
        <v>6.3329609952723508E-4</v>
      </c>
      <c r="I109" s="114">
        <f t="shared" si="16"/>
        <v>-7.187869688662099</v>
      </c>
      <c r="J109" s="242">
        <f t="shared" si="17"/>
        <v>361.35707212090136</v>
      </c>
      <c r="K109" s="242">
        <f t="shared" si="18"/>
        <v>-321.94617072933511</v>
      </c>
      <c r="L109" s="2">
        <f t="shared" si="13"/>
        <v>-28.185851625430306</v>
      </c>
      <c r="M109">
        <f t="shared" si="14"/>
        <v>-10.610901391566246</v>
      </c>
      <c r="N109" s="241"/>
      <c r="O109" s="241"/>
      <c r="P109" s="25">
        <f t="shared" si="19"/>
        <v>4.601451090920623</v>
      </c>
      <c r="Q109" s="214">
        <f t="shared" si="20"/>
        <v>6.7807037216141</v>
      </c>
      <c r="R109" s="214">
        <f t="shared" si="21"/>
        <v>379.92779195044545</v>
      </c>
      <c r="S109" s="214">
        <f t="shared" si="22"/>
        <v>-361.13762541598032</v>
      </c>
      <c r="T109" s="245">
        <f t="shared" si="23"/>
        <v>9.7764359398967195E-4</v>
      </c>
    </row>
    <row r="110" spans="4:20" x14ac:dyDescent="0.2">
      <c r="H110" s="2">
        <f t="shared" si="15"/>
        <v>6.5591381736749351E-4</v>
      </c>
      <c r="I110" s="114">
        <f t="shared" si="16"/>
        <v>-6.7970715657068093</v>
      </c>
      <c r="J110" s="242">
        <f t="shared" si="17"/>
        <v>477.70877676743748</v>
      </c>
      <c r="K110" s="242">
        <f t="shared" si="18"/>
        <v>-438.87478070753423</v>
      </c>
      <c r="L110" s="2">
        <f t="shared" si="13"/>
        <v>-37.261284587860125</v>
      </c>
      <c r="M110">
        <f t="shared" si="14"/>
        <v>-10.033996059903284</v>
      </c>
      <c r="N110" s="241"/>
      <c r="O110" s="241"/>
      <c r="P110" s="25">
        <f t="shared" si="19"/>
        <v>4.6240688087608817</v>
      </c>
      <c r="Q110" s="214">
        <f t="shared" si="20"/>
        <v>7.0848714221882929</v>
      </c>
      <c r="R110" s="214">
        <f t="shared" si="21"/>
        <v>261.75585444238624</v>
      </c>
      <c r="S110" s="214">
        <f t="shared" si="22"/>
        <v>-243.4147073833831</v>
      </c>
      <c r="T110" s="245">
        <f t="shared" si="23"/>
        <v>1.0870876656729359E-3</v>
      </c>
    </row>
    <row r="111" spans="4:20" x14ac:dyDescent="0.2">
      <c r="H111" s="2">
        <f t="shared" si="15"/>
        <v>6.7853153520775194E-4</v>
      </c>
      <c r="I111" s="114">
        <f t="shared" si="16"/>
        <v>-6.3005762276403363</v>
      </c>
      <c r="J111" s="242">
        <f t="shared" si="17"/>
        <v>586.14759064112172</v>
      </c>
      <c r="K111" s="242">
        <f t="shared" si="18"/>
        <v>-548.04653261457008</v>
      </c>
      <c r="L111" s="2">
        <f t="shared" si="13"/>
        <v>-45.719512070007497</v>
      </c>
      <c r="M111">
        <f t="shared" si="14"/>
        <v>-9.3010580265516687</v>
      </c>
      <c r="N111" s="241"/>
      <c r="O111" s="241"/>
      <c r="P111" s="25">
        <f t="shared" si="19"/>
        <v>4.6466865266011403</v>
      </c>
      <c r="Q111" s="214">
        <f t="shared" si="20"/>
        <v>7.2764703843515823</v>
      </c>
      <c r="R111" s="214">
        <f t="shared" si="21"/>
        <v>139.86078603143778</v>
      </c>
      <c r="S111" s="214">
        <f t="shared" si="22"/>
        <v>-121.80248184275656</v>
      </c>
      <c r="T111" s="245">
        <f t="shared" si="23"/>
        <v>1.1662155503289542E-3</v>
      </c>
    </row>
    <row r="112" spans="4:20" x14ac:dyDescent="0.2">
      <c r="H112" s="2">
        <f t="shared" si="15"/>
        <v>7.0114925304801037E-4</v>
      </c>
      <c r="I112" s="114">
        <f t="shared" si="16"/>
        <v>-5.7065564608944701</v>
      </c>
      <c r="J112" s="242">
        <f t="shared" si="17"/>
        <v>684.99289782744768</v>
      </c>
      <c r="K112" s="242">
        <f t="shared" si="18"/>
        <v>-647.76874567740674</v>
      </c>
      <c r="L112" s="2">
        <f t="shared" si="13"/>
        <v>-53.429446030540916</v>
      </c>
      <c r="M112">
        <f t="shared" si="14"/>
        <v>-8.4241521500408787</v>
      </c>
      <c r="N112" s="241"/>
      <c r="O112" s="241"/>
      <c r="P112" s="25">
        <f t="shared" si="19"/>
        <v>4.6693042444413972</v>
      </c>
      <c r="Q112" s="214">
        <f t="shared" si="20"/>
        <v>7.3528631596944836</v>
      </c>
      <c r="R112" s="214">
        <f t="shared" si="21"/>
        <v>16.17424420212491</v>
      </c>
      <c r="S112" s="214">
        <f t="shared" si="22"/>
        <v>1.7712871844185512</v>
      </c>
      <c r="T112" s="245">
        <f t="shared" si="23"/>
        <v>1.2101462912037721E-3</v>
      </c>
    </row>
    <row r="113" spans="8:20" x14ac:dyDescent="0.2">
      <c r="H113" s="2">
        <f t="shared" si="15"/>
        <v>7.237669708882688E-4</v>
      </c>
      <c r="I113" s="114">
        <f t="shared" si="16"/>
        <v>-5.0246929561988489</v>
      </c>
      <c r="J113" s="242">
        <f t="shared" si="17"/>
        <v>772.72078255466465</v>
      </c>
      <c r="K113" s="242">
        <f t="shared" si="18"/>
        <v>-736.50321326216294</v>
      </c>
      <c r="L113" s="2">
        <f t="shared" ref="L113:L144" si="24">-0.001*$B$20*J113</f>
        <v>-60.27222103926384</v>
      </c>
      <c r="M113">
        <f t="shared" ref="M113:M144" si="25">I113*E$69</f>
        <v>-7.4175692925016641</v>
      </c>
      <c r="N113" s="241"/>
      <c r="O113" s="241"/>
      <c r="P113" s="25">
        <f t="shared" si="19"/>
        <v>4.6919219622816559</v>
      </c>
      <c r="Q113" s="214">
        <f t="shared" si="20"/>
        <v>7.3132349911683061</v>
      </c>
      <c r="R113" s="214">
        <f t="shared" si="21"/>
        <v>-107.35041368028271</v>
      </c>
      <c r="S113" s="214">
        <f t="shared" si="22"/>
        <v>125.35444509628871</v>
      </c>
      <c r="T113" s="245">
        <f t="shared" si="23"/>
        <v>1.2162363097945219E-3</v>
      </c>
    </row>
    <row r="114" spans="8:20" x14ac:dyDescent="0.2">
      <c r="H114" s="2">
        <f t="shared" ref="H114:H145" si="26">H113+$B$75</f>
        <v>7.4638468872852723E-4</v>
      </c>
      <c r="I114" s="114">
        <f t="shared" ref="I114:I145" si="27">($E$68/(2*$J$76*$E$70))*EXP(-H114*$J$68)*SIN($J$76*H114)+$I$61*EXP(-H114*$J$68)*COS($J$76*H114)</f>
        <v>-4.2660168174407103</v>
      </c>
      <c r="J114" s="242">
        <f t="shared" ref="J114:J145" si="28">$E$68-I114*$E$69-K114</f>
        <v>847.98749405614637</v>
      </c>
      <c r="K114" s="242">
        <f t="shared" ref="K114:K145" si="29">E$68*(1-EXP(-J$68*H114)*(COS(J$76*H114)+(J$68/J$76)*SIN(H114*J$76)))+B$74*SQRT(E$70/E$71)*EXP(-H114*J$68)*SIN(J$76*H114)</f>
        <v>-812.88990022858604</v>
      </c>
      <c r="L114" s="2">
        <f t="shared" si="24"/>
        <v>-66.143024536379414</v>
      </c>
      <c r="M114">
        <f t="shared" si="25"/>
        <v>-6.2975938275603598</v>
      </c>
      <c r="N114" s="241"/>
      <c r="O114" s="241"/>
      <c r="P114" s="25">
        <f t="shared" si="19"/>
        <v>4.7145396801219146</v>
      </c>
      <c r="Q114" s="214">
        <f t="shared" si="20"/>
        <v>7.1586005024750579</v>
      </c>
      <c r="R114" s="214">
        <f t="shared" si="21"/>
        <v>-228.76895715942769</v>
      </c>
      <c r="S114" s="214">
        <f t="shared" si="22"/>
        <v>247.00126362525094</v>
      </c>
      <c r="T114" s="245">
        <f t="shared" si="23"/>
        <v>1.1842299070752697E-3</v>
      </c>
    </row>
    <row r="115" spans="8:20" x14ac:dyDescent="0.2">
      <c r="H115" s="2">
        <f t="shared" si="26"/>
        <v>7.6900240656878566E-4</v>
      </c>
      <c r="I115" s="114">
        <f t="shared" si="27"/>
        <v>-3.4427313399560173</v>
      </c>
      <c r="J115" s="242">
        <f t="shared" si="28"/>
        <v>909.64999588874855</v>
      </c>
      <c r="K115" s="242">
        <f t="shared" si="29"/>
        <v>-875.76775534346575</v>
      </c>
      <c r="L115" s="2">
        <f t="shared" si="24"/>
        <v>-70.952699679322393</v>
      </c>
      <c r="M115">
        <f t="shared" si="25"/>
        <v>-5.0822405452828354</v>
      </c>
      <c r="N115" s="241"/>
      <c r="O115" s="241"/>
      <c r="P115" s="25">
        <f t="shared" si="19"/>
        <v>4.7371573979621724</v>
      </c>
      <c r="Q115" s="214">
        <f t="shared" si="20"/>
        <v>6.891781563108843</v>
      </c>
      <c r="R115" s="214">
        <f t="shared" si="21"/>
        <v>-346.17686196969095</v>
      </c>
      <c r="S115" s="214">
        <f t="shared" si="22"/>
        <v>364.80305279592255</v>
      </c>
      <c r="T115" s="245">
        <f t="shared" si="23"/>
        <v>1.1162592185130736E-3</v>
      </c>
    </row>
    <row r="116" spans="8:20" x14ac:dyDescent="0.2">
      <c r="H116" s="2">
        <f t="shared" si="26"/>
        <v>7.9162012440904409E-4</v>
      </c>
      <c r="I116" s="114">
        <f t="shared" si="27"/>
        <v>-2.5680159339925424</v>
      </c>
      <c r="J116" s="242">
        <f t="shared" si="28"/>
        <v>956.783285996617</v>
      </c>
      <c r="K116" s="242">
        <f t="shared" si="29"/>
        <v>-924.19232079721337</v>
      </c>
      <c r="L116" s="2">
        <f t="shared" si="24"/>
        <v>-74.62909630773612</v>
      </c>
      <c r="M116">
        <f t="shared" si="25"/>
        <v>-3.790965199403566</v>
      </c>
      <c r="N116" s="241"/>
      <c r="O116" s="241"/>
      <c r="P116" s="25">
        <f t="shared" si="19"/>
        <v>4.7597751158024311</v>
      </c>
      <c r="Q116" s="214">
        <f t="shared" si="20"/>
        <v>6.5173567746122005</v>
      </c>
      <c r="R116" s="214">
        <f t="shared" si="21"/>
        <v>-457.73916120265505</v>
      </c>
      <c r="S116" s="214">
        <f t="shared" si="22"/>
        <v>476.91808666117453</v>
      </c>
      <c r="T116" s="245">
        <f t="shared" si="23"/>
        <v>1.0166946379516787E-3</v>
      </c>
    </row>
    <row r="117" spans="8:20" x14ac:dyDescent="0.2">
      <c r="H117" s="2">
        <f t="shared" si="26"/>
        <v>8.1423784224930252E-4</v>
      </c>
      <c r="I117" s="114">
        <f t="shared" si="27"/>
        <v>-1.6558153405079397</v>
      </c>
      <c r="J117" s="242">
        <f t="shared" si="28"/>
        <v>988.6942257078548</v>
      </c>
      <c r="K117" s="242">
        <f t="shared" si="29"/>
        <v>-957.44987236509928</v>
      </c>
      <c r="L117" s="2">
        <f t="shared" si="24"/>
        <v>-77.118149605212679</v>
      </c>
      <c r="M117">
        <f t="shared" si="25"/>
        <v>-2.4443533427555413</v>
      </c>
      <c r="N117" s="241"/>
      <c r="O117" s="241"/>
      <c r="P117" s="25">
        <f t="shared" si="19"/>
        <v>4.7823928336426897</v>
      </c>
      <c r="Q117" s="214">
        <f t="shared" si="20"/>
        <v>6.0415834689066559</v>
      </c>
      <c r="R117" s="214">
        <f t="shared" si="21"/>
        <v>-561.71910083265345</v>
      </c>
      <c r="S117" s="214">
        <f t="shared" si="22"/>
        <v>581.60037397557016</v>
      </c>
      <c r="T117" s="245">
        <f t="shared" si="23"/>
        <v>8.9185608258677716E-4</v>
      </c>
    </row>
    <row r="118" spans="8:20" x14ac:dyDescent="0.2">
      <c r="H118" s="2">
        <f t="shared" si="26"/>
        <v>8.3685556008956095E-4</v>
      </c>
      <c r="I118" s="114">
        <f t="shared" si="27"/>
        <v>-0.7206175074252239</v>
      </c>
      <c r="J118" s="242">
        <f t="shared" si="28"/>
        <v>1004.9316716965944</v>
      </c>
      <c r="K118" s="242">
        <f t="shared" si="29"/>
        <v>-975.06787927359233</v>
      </c>
      <c r="L118" s="2">
        <f t="shared" si="24"/>
        <v>-78.384670392334371</v>
      </c>
      <c r="M118">
        <f t="shared" si="25"/>
        <v>-1.0637924230021145</v>
      </c>
      <c r="N118" s="241"/>
      <c r="O118" s="241"/>
      <c r="P118" s="25">
        <f t="shared" si="19"/>
        <v>4.8050105514829484</v>
      </c>
      <c r="Q118" s="214">
        <f t="shared" si="20"/>
        <v>5.4722935393273584</v>
      </c>
      <c r="R118" s="214">
        <f t="shared" si="21"/>
        <v>-656.50515247449266</v>
      </c>
      <c r="S118" s="214">
        <f t="shared" si="22"/>
        <v>677.22682472975089</v>
      </c>
      <c r="T118" s="245">
        <f t="shared" si="23"/>
        <v>7.496041159507572E-4</v>
      </c>
    </row>
    <row r="119" spans="8:20" x14ac:dyDescent="0.2">
      <c r="H119" s="2">
        <f t="shared" si="26"/>
        <v>8.5947327792981938E-4</v>
      </c>
      <c r="I119" s="114">
        <f t="shared" si="27"/>
        <v>0.22277633834449312</v>
      </c>
      <c r="J119" s="242">
        <f t="shared" si="28"/>
        <v>1005.2927638428652</v>
      </c>
      <c r="K119" s="242">
        <f t="shared" si="29"/>
        <v>-976.8216314852873</v>
      </c>
      <c r="L119" s="2">
        <f t="shared" si="24"/>
        <v>-78.412835579743486</v>
      </c>
      <c r="M119">
        <f t="shared" si="25"/>
        <v>0.32886764242210509</v>
      </c>
      <c r="N119" s="241"/>
      <c r="O119" s="241"/>
      <c r="P119" s="25">
        <f t="shared" si="19"/>
        <v>4.8276282693232062</v>
      </c>
      <c r="Q119" s="214">
        <f t="shared" si="20"/>
        <v>4.8187648325229269</v>
      </c>
      <c r="R119" s="214">
        <f t="shared" si="21"/>
        <v>-740.63596361600491</v>
      </c>
      <c r="S119" s="214">
        <f t="shared" si="22"/>
        <v>762.32239023727482</v>
      </c>
      <c r="T119" s="245">
        <f t="shared" si="23"/>
        <v>5.9883734150922635E-4</v>
      </c>
    </row>
    <row r="120" spans="8:20" x14ac:dyDescent="0.2">
      <c r="H120" s="2">
        <f t="shared" si="26"/>
        <v>8.8209099577007781E-4</v>
      </c>
      <c r="I120" s="114">
        <f t="shared" si="27"/>
        <v>1.1594857768377529</v>
      </c>
      <c r="J120" s="242">
        <f t="shared" si="28"/>
        <v>989.82528293957125</v>
      </c>
      <c r="K120" s="242">
        <f t="shared" si="29"/>
        <v>-962.73694296901715</v>
      </c>
      <c r="L120" s="2">
        <f t="shared" si="24"/>
        <v>-77.206372069286559</v>
      </c>
      <c r="M120">
        <f t="shared" si="25"/>
        <v>1.7116600294459448</v>
      </c>
      <c r="N120" s="241"/>
      <c r="O120" s="241"/>
      <c r="P120" s="25">
        <f t="shared" si="19"/>
        <v>4.850245987163464</v>
      </c>
      <c r="Q120" s="214">
        <f t="shared" si="20"/>
        <v>4.0915702083320866</v>
      </c>
      <c r="R120" s="214">
        <f t="shared" si="21"/>
        <v>-812.82285945412445</v>
      </c>
      <c r="S120" s="214">
        <f t="shared" si="22"/>
        <v>835.58278779203465</v>
      </c>
      <c r="T120" s="245">
        <f t="shared" si="23"/>
        <v>4.4892817141744336E-4</v>
      </c>
    </row>
    <row r="121" spans="8:20" x14ac:dyDescent="0.2">
      <c r="H121" s="2">
        <f t="shared" si="26"/>
        <v>9.0470871361033624E-4</v>
      </c>
      <c r="I121" s="114">
        <f t="shared" si="27"/>
        <v>2.0747857394750051</v>
      </c>
      <c r="J121" s="242">
        <f t="shared" si="28"/>
        <v>958.82605436210872</v>
      </c>
      <c r="K121" s="242">
        <f t="shared" si="29"/>
        <v>-933.0889016094543</v>
      </c>
      <c r="L121" s="2">
        <f t="shared" si="24"/>
        <v>-74.788432240244475</v>
      </c>
      <c r="M121">
        <f t="shared" si="25"/>
        <v>3.0628472473455375</v>
      </c>
      <c r="N121" s="241"/>
      <c r="O121" s="241"/>
      <c r="P121" s="25">
        <f t="shared" si="19"/>
        <v>4.8728637050037227</v>
      </c>
      <c r="Q121" s="214">
        <f t="shared" si="20"/>
        <v>3.3024067192488968</v>
      </c>
      <c r="R121" s="214">
        <f t="shared" si="21"/>
        <v>-871.96955031026209</v>
      </c>
      <c r="S121" s="214">
        <f t="shared" si="22"/>
        <v>895.89446025290215</v>
      </c>
      <c r="T121" s="245">
        <f t="shared" si="23"/>
        <v>3.091327181968807E-4</v>
      </c>
    </row>
    <row r="122" spans="8:20" x14ac:dyDescent="0.2">
      <c r="H122" s="2">
        <f t="shared" si="26"/>
        <v>9.2732643145059467E-4</v>
      </c>
      <c r="I122" s="114">
        <f t="shared" si="27"/>
        <v>2.9543378177793262</v>
      </c>
      <c r="J122" s="242">
        <f t="shared" si="28"/>
        <v>912.83543614907057</v>
      </c>
      <c r="K122" s="242">
        <f t="shared" si="29"/>
        <v>-888.3966987511568</v>
      </c>
      <c r="L122" s="2">
        <f t="shared" si="24"/>
        <v>-71.201164019627498</v>
      </c>
      <c r="M122">
        <f t="shared" si="25"/>
        <v>4.3612626020862626</v>
      </c>
      <c r="N122" s="241"/>
      <c r="O122" s="241"/>
      <c r="P122" s="25">
        <f t="shared" si="19"/>
        <v>4.8954814228439814</v>
      </c>
      <c r="Q122" s="214">
        <f t="shared" si="20"/>
        <v>2.4639076658297197</v>
      </c>
      <c r="R122" s="214">
        <f t="shared" si="21"/>
        <v>-917.18874376151064</v>
      </c>
      <c r="S122" s="214">
        <f t="shared" si="22"/>
        <v>942.35146562313787</v>
      </c>
      <c r="T122" s="245">
        <f t="shared" si="23"/>
        <v>1.8801193720711703E-4</v>
      </c>
    </row>
    <row r="123" spans="8:20" x14ac:dyDescent="0.2">
      <c r="H123" s="2">
        <f t="shared" si="26"/>
        <v>9.499441492908531E-4</v>
      </c>
      <c r="I123" s="114">
        <f t="shared" si="27"/>
        <v>3.7844147055433455</v>
      </c>
      <c r="J123" s="242">
        <f t="shared" si="28"/>
        <v>852.62799146013367</v>
      </c>
      <c r="K123" s="242">
        <f t="shared" si="29"/>
        <v>-829.41463298323401</v>
      </c>
      <c r="L123" s="2">
        <f t="shared" si="24"/>
        <v>-66.504983333890422</v>
      </c>
      <c r="M123">
        <f t="shared" si="25"/>
        <v>5.5866415231002922</v>
      </c>
      <c r="N123" s="241"/>
      <c r="O123" s="241"/>
      <c r="P123" s="25">
        <f t="shared" si="19"/>
        <v>4.9180991406842391</v>
      </c>
      <c r="Q123" s="214">
        <f t="shared" si="20"/>
        <v>1.5894405447145386</v>
      </c>
      <c r="R123" s="214">
        <f t="shared" si="21"/>
        <v>-947.8154103696055</v>
      </c>
      <c r="S123" s="214">
        <f t="shared" si="22"/>
        <v>974.26904105321034</v>
      </c>
      <c r="T123" s="245">
        <f t="shared" si="23"/>
        <v>9.2900193592520495E-5</v>
      </c>
    </row>
    <row r="124" spans="8:20" x14ac:dyDescent="0.2">
      <c r="H124" s="2">
        <f t="shared" si="26"/>
        <v>9.7256186713111153E-4</v>
      </c>
      <c r="I124" s="114">
        <f t="shared" si="27"/>
        <v>4.5521142639448806</v>
      </c>
      <c r="J124" s="242">
        <f t="shared" si="28"/>
        <v>779.19950511386071</v>
      </c>
      <c r="K124" s="242">
        <f t="shared" si="29"/>
        <v>-757.11944268507898</v>
      </c>
      <c r="L124" s="2">
        <f t="shared" si="24"/>
        <v>-60.777561398881133</v>
      </c>
      <c r="M124">
        <f t="shared" si="25"/>
        <v>6.7199375712182539</v>
      </c>
      <c r="N124" s="241"/>
      <c r="O124" s="241"/>
      <c r="P124" s="25">
        <f t="shared" si="19"/>
        <v>4.9407168585244978</v>
      </c>
      <c r="Q124" s="214">
        <f t="shared" si="20"/>
        <v>0.6928941178831286</v>
      </c>
      <c r="R124" s="214">
        <f t="shared" si="21"/>
        <v>-963.41650542113348</v>
      </c>
      <c r="S124" s="214">
        <f t="shared" si="22"/>
        <v>991.19363891435034</v>
      </c>
      <c r="T124" s="245">
        <f t="shared" si="23"/>
        <v>2.9454214328983282E-5</v>
      </c>
    </row>
    <row r="125" spans="8:20" x14ac:dyDescent="0.2">
      <c r="H125" s="2">
        <f t="shared" si="26"/>
        <v>9.9517958497136985E-4</v>
      </c>
      <c r="I125" s="114">
        <f t="shared" si="27"/>
        <v>5.2455598743103202</v>
      </c>
      <c r="J125" s="242">
        <f t="shared" si="28"/>
        <v>693.75056092921511</v>
      </c>
      <c r="K125" s="242">
        <f t="shared" si="29"/>
        <v>-672.69417913332086</v>
      </c>
      <c r="L125" s="2">
        <f t="shared" si="24"/>
        <v>-54.112543752478778</v>
      </c>
      <c r="M125">
        <f t="shared" si="25"/>
        <v>7.7436182041057053</v>
      </c>
      <c r="N125" s="241"/>
      <c r="O125" s="241"/>
      <c r="P125" s="25">
        <f t="shared" si="19"/>
        <v>4.9633345763647565</v>
      </c>
      <c r="Q125" s="214">
        <f t="shared" si="20"/>
        <v>-0.21154200783073623</v>
      </c>
      <c r="R125" s="214">
        <f t="shared" si="21"/>
        <v>-963.797005554512</v>
      </c>
      <c r="S125" s="214">
        <f t="shared" si="22"/>
        <v>992.90928881540731</v>
      </c>
      <c r="T125" s="245">
        <f t="shared" si="23"/>
        <v>1.3101304795128078E-6</v>
      </c>
    </row>
    <row r="126" spans="8:20" x14ac:dyDescent="0.2">
      <c r="H126" s="2">
        <f t="shared" si="26"/>
        <v>1.0177973028116282E-3</v>
      </c>
      <c r="I126" s="114">
        <f t="shared" si="27"/>
        <v>5.8540839703446022</v>
      </c>
      <c r="J126" s="242">
        <f t="shared" si="28"/>
        <v>597.66695001155688</v>
      </c>
      <c r="K126" s="242">
        <f t="shared" si="29"/>
        <v>-577.5088857223916</v>
      </c>
      <c r="L126" s="2">
        <f t="shared" si="24"/>
        <v>-46.618022100901435</v>
      </c>
      <c r="M126">
        <f t="shared" si="25"/>
        <v>8.6419357108346873</v>
      </c>
      <c r="N126" s="241"/>
      <c r="O126" s="241"/>
      <c r="P126" s="25">
        <f t="shared" ref="P126:P137" si="30">1000*($H$61+H145)</f>
        <v>4.9859522942050143</v>
      </c>
      <c r="Q126" s="214">
        <f t="shared" ref="Q126:Q137" si="31">I145</f>
        <v>-1.1096017954379156</v>
      </c>
      <c r="R126" s="214">
        <f t="shared" ref="R126:R137" si="32">J145</f>
        <v>-949.00217764305057</v>
      </c>
      <c r="S126" s="214">
        <f t="shared" ref="S126:S137" si="33">K145</f>
        <v>979.44019777213953</v>
      </c>
      <c r="T126" s="245">
        <f t="shared" si="23"/>
        <v>9.8693596337595127E-6</v>
      </c>
    </row>
    <row r="127" spans="8:20" x14ac:dyDescent="0.2">
      <c r="H127" s="2">
        <f t="shared" si="26"/>
        <v>1.0404150206518865E-3</v>
      </c>
      <c r="I127" s="114">
        <f t="shared" si="27"/>
        <v>6.3683919169367194</v>
      </c>
      <c r="J127" s="242">
        <f t="shared" si="28"/>
        <v>492.49722910784385</v>
      </c>
      <c r="K127" s="242">
        <f t="shared" si="29"/>
        <v>-473.09839824145411</v>
      </c>
      <c r="L127" s="2">
        <f t="shared" si="24"/>
        <v>-38.414783870411817</v>
      </c>
      <c r="M127">
        <f t="shared" si="25"/>
        <v>9.4011691336102814</v>
      </c>
      <c r="N127" s="241"/>
      <c r="O127" s="241"/>
      <c r="P127" s="25">
        <f t="shared" si="30"/>
        <v>5.008570012045273</v>
      </c>
      <c r="Q127" s="214">
        <f t="shared" si="31"/>
        <v>-1.9871676400632865</v>
      </c>
      <c r="R127" s="214">
        <f t="shared" si="32"/>
        <v>-919.31605690114066</v>
      </c>
      <c r="S127" s="214">
        <f t="shared" si="33"/>
        <v>951.04956026034631</v>
      </c>
      <c r="T127" s="245">
        <f t="shared" si="23"/>
        <v>5.4225870729677403E-5</v>
      </c>
    </row>
    <row r="128" spans="8:20" x14ac:dyDescent="0.2">
      <c r="H128" s="2">
        <f t="shared" si="26"/>
        <v>1.0630327384921448E-3</v>
      </c>
      <c r="I128" s="114">
        <f t="shared" si="27"/>
        <v>6.7807037216141</v>
      </c>
      <c r="J128" s="242">
        <f t="shared" si="28"/>
        <v>379.92779195044545</v>
      </c>
      <c r="K128" s="242">
        <f t="shared" si="29"/>
        <v>-361.13762541598032</v>
      </c>
      <c r="L128" s="2">
        <f t="shared" si="24"/>
        <v>-29.634367772134745</v>
      </c>
      <c r="M128">
        <f t="shared" si="25"/>
        <v>10.009833465534856</v>
      </c>
      <c r="N128" s="241"/>
      <c r="O128" s="241"/>
      <c r="P128" s="25">
        <f t="shared" si="30"/>
        <v>5.0311877298855308</v>
      </c>
      <c r="Q128" s="214">
        <f t="shared" si="31"/>
        <v>-2.8304921370406464</v>
      </c>
      <c r="R128" s="214">
        <f t="shared" si="32"/>
        <v>-875.25617094028655</v>
      </c>
      <c r="S128" s="214">
        <f t="shared" si="33"/>
        <v>908.23460965114919</v>
      </c>
      <c r="T128" s="245">
        <f t="shared" si="23"/>
        <v>1.3123843544753075E-4</v>
      </c>
    </row>
    <row r="129" spans="8:21" x14ac:dyDescent="0.2">
      <c r="H129" s="2">
        <f t="shared" si="26"/>
        <v>1.0856504563324031E-3</v>
      </c>
      <c r="I129" s="114">
        <f t="shared" si="27"/>
        <v>7.0848714221882929</v>
      </c>
      <c r="J129" s="242">
        <f t="shared" si="28"/>
        <v>261.75585444238624</v>
      </c>
      <c r="K129" s="242">
        <f t="shared" si="29"/>
        <v>-243.4147073833831</v>
      </c>
      <c r="L129" s="2">
        <f t="shared" si="24"/>
        <v>-20.416956646506126</v>
      </c>
      <c r="M129">
        <f t="shared" si="25"/>
        <v>10.458852940996847</v>
      </c>
      <c r="N129" s="241"/>
      <c r="O129" s="241"/>
      <c r="P129" s="25">
        <f t="shared" si="30"/>
        <v>5.0538054477257894</v>
      </c>
      <c r="Q129" s="214">
        <f t="shared" si="31"/>
        <v>-3.626413274730417</v>
      </c>
      <c r="R129" s="214">
        <f t="shared" si="32"/>
        <v>-817.56460548186328</v>
      </c>
      <c r="S129" s="214">
        <f t="shared" si="33"/>
        <v>851.718001596421</v>
      </c>
      <c r="T129" s="245">
        <f t="shared" si="23"/>
        <v>2.3574236675458232E-4</v>
      </c>
    </row>
    <row r="130" spans="8:21" x14ac:dyDescent="0.2">
      <c r="H130" s="2">
        <f t="shared" si="26"/>
        <v>1.1082681741726615E-3</v>
      </c>
      <c r="I130" s="114">
        <f t="shared" si="27"/>
        <v>7.2764703843515823</v>
      </c>
      <c r="J130" s="242">
        <f t="shared" si="28"/>
        <v>139.86078603143778</v>
      </c>
      <c r="K130" s="242">
        <f t="shared" si="29"/>
        <v>-121.80248184275656</v>
      </c>
      <c r="L130" s="2">
        <f t="shared" si="24"/>
        <v>-10.909141310452148</v>
      </c>
      <c r="M130">
        <f t="shared" si="25"/>
        <v>10.741695811318765</v>
      </c>
      <c r="N130" s="241"/>
      <c r="O130" s="241"/>
      <c r="P130" s="25">
        <f t="shared" si="30"/>
        <v>5.0764231655660481</v>
      </c>
      <c r="Q130" s="214">
        <f t="shared" si="31"/>
        <v>-4.3625596862013838</v>
      </c>
      <c r="R130" s="214">
        <f t="shared" si="32"/>
        <v>-747.19556470826092</v>
      </c>
      <c r="S130" s="214">
        <f t="shared" si="33"/>
        <v>782.43567737726528</v>
      </c>
      <c r="T130" s="245">
        <f t="shared" si="23"/>
        <v>3.6088654716479642E-4</v>
      </c>
    </row>
    <row r="131" spans="8:21" x14ac:dyDescent="0.2">
      <c r="H131" s="2">
        <f t="shared" si="26"/>
        <v>1.1308858920129198E-3</v>
      </c>
      <c r="I131" s="114">
        <f t="shared" si="27"/>
        <v>7.3528631596944836</v>
      </c>
      <c r="J131" s="242">
        <f t="shared" si="28"/>
        <v>16.17424420212491</v>
      </c>
      <c r="K131" s="242">
        <f t="shared" si="29"/>
        <v>1.7712871844185512</v>
      </c>
      <c r="L131" s="2">
        <f t="shared" si="24"/>
        <v>-1.261591047765743</v>
      </c>
      <c r="M131">
        <f t="shared" si="25"/>
        <v>10.85446861345654</v>
      </c>
      <c r="N131" s="241"/>
      <c r="O131" s="241"/>
      <c r="P131" s="25">
        <f t="shared" si="30"/>
        <v>5.0990408834063059</v>
      </c>
      <c r="Q131" s="214">
        <f t="shared" si="31"/>
        <v>-5.0275427617667487</v>
      </c>
      <c r="R131" s="214">
        <f t="shared" si="32"/>
        <v>-665.29963390737385</v>
      </c>
      <c r="S131" s="214">
        <f t="shared" si="33"/>
        <v>701.52141014952485</v>
      </c>
      <c r="T131" s="245">
        <f t="shared" si="23"/>
        <v>4.9857379882381058E-4</v>
      </c>
    </row>
    <row r="132" spans="8:21" x14ac:dyDescent="0.2">
      <c r="H132" s="2">
        <f t="shared" si="26"/>
        <v>1.1535036098531781E-3</v>
      </c>
      <c r="I132" s="114">
        <f t="shared" si="27"/>
        <v>7.3132349911683061</v>
      </c>
      <c r="J132" s="242">
        <f t="shared" si="28"/>
        <v>-107.35041368028271</v>
      </c>
      <c r="K132" s="242">
        <f t="shared" si="29"/>
        <v>125.35444509628871</v>
      </c>
      <c r="L132" s="2">
        <f t="shared" si="24"/>
        <v>8.373332267062052</v>
      </c>
      <c r="M132">
        <f t="shared" si="25"/>
        <v>10.795968583993998</v>
      </c>
      <c r="N132" s="241"/>
      <c r="O132" s="241"/>
      <c r="P132" s="25">
        <f t="shared" si="30"/>
        <v>5.1216586012465637</v>
      </c>
      <c r="Q132" s="214">
        <f t="shared" si="31"/>
        <v>-5.6111326419972132</v>
      </c>
      <c r="R132" s="214">
        <f t="shared" si="32"/>
        <v>-573.20500328528112</v>
      </c>
      <c r="S132" s="214">
        <f t="shared" si="33"/>
        <v>610.28828856146606</v>
      </c>
      <c r="T132" s="245">
        <f t="shared" ref="T132:T137" si="34">(0.5*(Q131+Q132))^2*0.001*(P132-P131)</f>
        <v>6.3997632361347174E-4</v>
      </c>
    </row>
    <row r="133" spans="8:21" x14ac:dyDescent="0.2">
      <c r="H133" s="2">
        <f t="shared" si="26"/>
        <v>1.1761213276934364E-3</v>
      </c>
      <c r="I133" s="114">
        <f t="shared" si="27"/>
        <v>7.1586005024750579</v>
      </c>
      <c r="J133" s="242">
        <f t="shared" si="28"/>
        <v>-228.76895715942769</v>
      </c>
      <c r="K133" s="242">
        <f t="shared" si="29"/>
        <v>247.00126362525094</v>
      </c>
      <c r="L133" s="2">
        <f t="shared" si="24"/>
        <v>17.843978658435358</v>
      </c>
      <c r="M133">
        <f t="shared" si="25"/>
        <v>10.567693534176737</v>
      </c>
      <c r="N133" s="241"/>
      <c r="O133" s="241"/>
      <c r="P133" s="25">
        <f t="shared" si="30"/>
        <v>5.1442763190868224</v>
      </c>
      <c r="Q133" s="214">
        <f t="shared" si="31"/>
        <v>-6.1044153746568917</v>
      </c>
      <c r="R133" s="214">
        <f t="shared" si="32"/>
        <v>-472.39595879363787</v>
      </c>
      <c r="S133" s="214">
        <f t="shared" si="33"/>
        <v>510.20743957991539</v>
      </c>
      <c r="T133" s="245">
        <f t="shared" si="34"/>
        <v>7.7609343051857787E-4</v>
      </c>
    </row>
    <row r="134" spans="8:21" x14ac:dyDescent="0.2">
      <c r="H134" s="2">
        <f t="shared" si="26"/>
        <v>1.1987390455336948E-3</v>
      </c>
      <c r="I134" s="114">
        <f t="shared" si="27"/>
        <v>6.891781563108843</v>
      </c>
      <c r="J134" s="242">
        <f t="shared" si="28"/>
        <v>-346.17686196969095</v>
      </c>
      <c r="K134" s="242">
        <f t="shared" si="29"/>
        <v>364.80305279592255</v>
      </c>
      <c r="L134" s="2">
        <f t="shared" si="24"/>
        <v>27.001795233635892</v>
      </c>
      <c r="M134">
        <f t="shared" si="25"/>
        <v>10.173809173768392</v>
      </c>
      <c r="N134" s="241"/>
      <c r="O134" s="241"/>
      <c r="P134" s="25">
        <f t="shared" si="30"/>
        <v>5.166894036927081</v>
      </c>
      <c r="Q134" s="214">
        <f t="shared" si="31"/>
        <v>-6.4999288247122511</v>
      </c>
      <c r="R134" s="214">
        <f t="shared" si="32"/>
        <v>-364.48898781646699</v>
      </c>
      <c r="S134" s="214">
        <f t="shared" si="33"/>
        <v>402.8843348105857</v>
      </c>
      <c r="T134" s="245">
        <f t="shared" si="34"/>
        <v>8.9831633980675567E-4</v>
      </c>
    </row>
    <row r="135" spans="8:21" x14ac:dyDescent="0.2">
      <c r="H135" s="2">
        <f t="shared" si="26"/>
        <v>1.2213567633739531E-3</v>
      </c>
      <c r="I135" s="114">
        <f t="shared" si="27"/>
        <v>6.5173567746122005</v>
      </c>
      <c r="J135" s="242">
        <f t="shared" si="28"/>
        <v>-457.73916120265505</v>
      </c>
      <c r="K135" s="242">
        <f t="shared" si="29"/>
        <v>476.91808666117453</v>
      </c>
      <c r="L135" s="2">
        <f t="shared" si="24"/>
        <v>35.703654573807093</v>
      </c>
      <c r="M135">
        <f t="shared" si="25"/>
        <v>9.6210745414805015</v>
      </c>
      <c r="N135" s="241"/>
      <c r="O135" s="241"/>
      <c r="P135" s="25">
        <f t="shared" si="30"/>
        <v>5.1895117547673397</v>
      </c>
      <c r="Q135" s="214">
        <f t="shared" si="31"/>
        <v>-6.7917752691949405</v>
      </c>
      <c r="R135" s="214">
        <f t="shared" si="32"/>
        <v>-251.20688394139535</v>
      </c>
      <c r="S135" s="214">
        <f t="shared" si="33"/>
        <v>290.0330614844832</v>
      </c>
      <c r="T135" s="245">
        <f t="shared" si="34"/>
        <v>9.9896464715978884E-4</v>
      </c>
    </row>
    <row r="136" spans="8:21" x14ac:dyDescent="0.2">
      <c r="H136" s="2">
        <f t="shared" si="26"/>
        <v>1.2439744812142114E-3</v>
      </c>
      <c r="I136" s="114">
        <f t="shared" si="27"/>
        <v>6.0415834689066559</v>
      </c>
      <c r="J136" s="242">
        <f t="shared" si="28"/>
        <v>-561.71910083265345</v>
      </c>
      <c r="K136" s="242">
        <f t="shared" si="29"/>
        <v>581.60037397557016</v>
      </c>
      <c r="L136" s="2">
        <f t="shared" si="24"/>
        <v>43.814089864946972</v>
      </c>
      <c r="M136">
        <f t="shared" si="25"/>
        <v>8.9187268570832483</v>
      </c>
      <c r="N136" s="241"/>
      <c r="O136" s="241"/>
      <c r="P136" s="25">
        <f t="shared" si="30"/>
        <v>5.2121294726075975</v>
      </c>
      <c r="Q136" s="214">
        <f t="shared" si="31"/>
        <v>-6.9757089827390226</v>
      </c>
      <c r="R136" s="214">
        <f t="shared" si="32"/>
        <v>-134.35126524887232</v>
      </c>
      <c r="S136" s="214">
        <f t="shared" si="33"/>
        <v>173.44897004294518</v>
      </c>
      <c r="T136" s="245">
        <f t="shared" si="34"/>
        <v>1.0717610437508589E-3</v>
      </c>
    </row>
    <row r="137" spans="8:21" x14ac:dyDescent="0.2">
      <c r="H137" s="2">
        <f t="shared" si="26"/>
        <v>1.2665921990544697E-3</v>
      </c>
      <c r="I137" s="114">
        <f t="shared" si="27"/>
        <v>5.4722935393273584</v>
      </c>
      <c r="J137" s="242">
        <f t="shared" si="28"/>
        <v>-656.50515247449266</v>
      </c>
      <c r="K137" s="242">
        <f t="shared" si="29"/>
        <v>677.22682472975089</v>
      </c>
      <c r="L137" s="2">
        <f t="shared" si="24"/>
        <v>51.207401893010427</v>
      </c>
      <c r="M137">
        <f t="shared" si="25"/>
        <v>8.0783277447418005</v>
      </c>
      <c r="N137" s="241"/>
      <c r="O137" s="241"/>
      <c r="P137" s="25">
        <f t="shared" si="30"/>
        <v>5.2347471904478562</v>
      </c>
      <c r="Q137" s="214">
        <f t="shared" si="31"/>
        <v>-7.049197519065773</v>
      </c>
      <c r="R137" s="214">
        <f t="shared" si="32"/>
        <v>-15.773944134912057</v>
      </c>
      <c r="S137" s="214">
        <f t="shared" si="33"/>
        <v>54.980134425543604</v>
      </c>
      <c r="T137" s="245">
        <f t="shared" si="34"/>
        <v>1.1122149794180322E-3</v>
      </c>
    </row>
    <row r="138" spans="8:21" x14ac:dyDescent="0.2">
      <c r="H138" s="2">
        <f t="shared" si="26"/>
        <v>1.289209916894728E-3</v>
      </c>
      <c r="I138" s="114">
        <f t="shared" si="27"/>
        <v>4.8187648325229269</v>
      </c>
      <c r="J138" s="242">
        <f t="shared" si="28"/>
        <v>-740.63596361600491</v>
      </c>
      <c r="K138" s="242">
        <f t="shared" si="29"/>
        <v>762.32239023727482</v>
      </c>
      <c r="L138" s="2">
        <f t="shared" si="24"/>
        <v>57.769605162048386</v>
      </c>
      <c r="M138">
        <f t="shared" si="25"/>
        <v>7.1135733787301412</v>
      </c>
      <c r="N138" s="241"/>
      <c r="O138" s="241"/>
      <c r="P138" s="25"/>
      <c r="Q138" s="214"/>
      <c r="R138" s="214"/>
      <c r="S138" s="214"/>
    </row>
    <row r="139" spans="8:21" x14ac:dyDescent="0.2">
      <c r="H139" s="2">
        <f t="shared" si="26"/>
        <v>1.3118276347349864E-3</v>
      </c>
      <c r="I139" s="114">
        <f t="shared" si="27"/>
        <v>4.0915702083320866</v>
      </c>
      <c r="J139" s="242">
        <f t="shared" si="28"/>
        <v>-812.82285945412445</v>
      </c>
      <c r="K139" s="242">
        <f t="shared" si="29"/>
        <v>835.58278779203465</v>
      </c>
      <c r="L139" s="2">
        <f t="shared" si="24"/>
        <v>63.400183037421705</v>
      </c>
      <c r="M139">
        <f t="shared" si="25"/>
        <v>6.0400716620897663</v>
      </c>
      <c r="N139" s="241"/>
      <c r="O139" s="241"/>
      <c r="P139" s="25"/>
      <c r="Q139" s="214"/>
      <c r="R139" s="214"/>
      <c r="S139" s="214" t="s">
        <v>687</v>
      </c>
      <c r="T139">
        <f>SQRT(SUM(T36:T137))/(0.001*P137)</f>
        <v>69.817224033774266</v>
      </c>
      <c r="U139" t="s">
        <v>895</v>
      </c>
    </row>
    <row r="140" spans="8:21" x14ac:dyDescent="0.2">
      <c r="H140" s="2">
        <f t="shared" si="26"/>
        <v>1.3344453525752447E-3</v>
      </c>
      <c r="I140" s="114">
        <f t="shared" si="27"/>
        <v>3.3024067192488968</v>
      </c>
      <c r="J140" s="242">
        <f t="shared" si="28"/>
        <v>-871.96955031026209</v>
      </c>
      <c r="K140" s="242">
        <f t="shared" si="29"/>
        <v>895.89446025290215</v>
      </c>
      <c r="L140" s="2">
        <f t="shared" si="24"/>
        <v>68.013624924200442</v>
      </c>
      <c r="M140">
        <f t="shared" si="25"/>
        <v>4.8750900573599898</v>
      </c>
      <c r="N140" s="241"/>
      <c r="O140" s="241"/>
      <c r="P140" s="25"/>
      <c r="Q140" s="214"/>
      <c r="R140" s="214"/>
      <c r="S140" s="214"/>
    </row>
    <row r="141" spans="8:21" x14ac:dyDescent="0.2">
      <c r="H141" s="2">
        <f t="shared" si="26"/>
        <v>1.357063070415503E-3</v>
      </c>
      <c r="I141" s="114">
        <f t="shared" si="27"/>
        <v>2.4639076658297197</v>
      </c>
      <c r="J141" s="242">
        <f t="shared" si="28"/>
        <v>-917.18874376151064</v>
      </c>
      <c r="K141" s="242">
        <f t="shared" si="29"/>
        <v>942.35146562313787</v>
      </c>
      <c r="L141" s="2">
        <f t="shared" si="24"/>
        <v>71.540722013397826</v>
      </c>
      <c r="M141">
        <f t="shared" si="25"/>
        <v>3.6372781383728219</v>
      </c>
      <c r="N141" s="241"/>
      <c r="O141" s="241"/>
      <c r="P141" s="25"/>
      <c r="Q141" s="214"/>
      <c r="R141" s="214"/>
      <c r="S141" s="214"/>
    </row>
    <row r="142" spans="8:21" x14ac:dyDescent="0.2">
      <c r="H142" s="2">
        <f t="shared" si="26"/>
        <v>1.3796807882557613E-3</v>
      </c>
      <c r="I142" s="114">
        <f t="shared" si="27"/>
        <v>1.5894405447145386</v>
      </c>
      <c r="J142" s="242">
        <f t="shared" si="28"/>
        <v>-947.8154103696055</v>
      </c>
      <c r="K142" s="242">
        <f t="shared" si="29"/>
        <v>974.26904105321034</v>
      </c>
      <c r="L142" s="2">
        <f t="shared" si="24"/>
        <v>73.929602008829235</v>
      </c>
      <c r="M142">
        <f t="shared" si="25"/>
        <v>2.3463693163951223</v>
      </c>
      <c r="N142" s="241"/>
      <c r="O142" s="241"/>
      <c r="P142" s="25"/>
      <c r="Q142" s="214"/>
      <c r="R142" s="214"/>
      <c r="S142" s="214"/>
    </row>
    <row r="143" spans="8:21" x14ac:dyDescent="0.2">
      <c r="H143" s="2">
        <f t="shared" si="26"/>
        <v>1.4022985060960196E-3</v>
      </c>
      <c r="I143" s="114">
        <f t="shared" si="27"/>
        <v>0.6928941178831286</v>
      </c>
      <c r="J143" s="242">
        <f t="shared" si="28"/>
        <v>-963.41650542113348</v>
      </c>
      <c r="K143" s="242">
        <f t="shared" si="29"/>
        <v>991.19363891435034</v>
      </c>
      <c r="L143" s="2">
        <f t="shared" si="24"/>
        <v>75.146487422848409</v>
      </c>
      <c r="M143">
        <f t="shared" si="25"/>
        <v>1.0228665067831315</v>
      </c>
      <c r="N143" s="241"/>
      <c r="O143" s="241"/>
      <c r="P143" s="25"/>
      <c r="Q143" s="214"/>
      <c r="R143" s="214"/>
      <c r="S143" s="214"/>
    </row>
    <row r="144" spans="8:21" x14ac:dyDescent="0.2">
      <c r="H144" s="2">
        <f t="shared" si="26"/>
        <v>1.424916223936278E-3</v>
      </c>
      <c r="I144" s="114">
        <f t="shared" si="27"/>
        <v>-0.21154200783073623</v>
      </c>
      <c r="J144" s="242">
        <f t="shared" si="28"/>
        <v>-963.797005554512</v>
      </c>
      <c r="K144" s="242">
        <f t="shared" si="29"/>
        <v>992.90928881540731</v>
      </c>
      <c r="L144" s="2">
        <f t="shared" si="24"/>
        <v>75.176166433251936</v>
      </c>
      <c r="M144">
        <f t="shared" si="25"/>
        <v>-0.31228326089529884</v>
      </c>
      <c r="N144" s="241"/>
      <c r="O144" s="241"/>
      <c r="P144" s="25"/>
      <c r="Q144" s="214"/>
      <c r="R144" s="214"/>
      <c r="S144" s="214"/>
    </row>
    <row r="145" spans="8:19" x14ac:dyDescent="0.2">
      <c r="H145" s="2">
        <f t="shared" si="26"/>
        <v>1.4475339417765363E-3</v>
      </c>
      <c r="I145" s="114">
        <f t="shared" si="27"/>
        <v>-1.1096017954379156</v>
      </c>
      <c r="J145" s="242">
        <f t="shared" si="28"/>
        <v>-949.00217764305057</v>
      </c>
      <c r="K145" s="242">
        <f t="shared" si="29"/>
        <v>979.44019777213953</v>
      </c>
      <c r="L145" s="2">
        <f t="shared" ref="L145:L156" si="35">-0.001*$B$20*J145</f>
        <v>74.022169856157944</v>
      </c>
      <c r="M145">
        <f t="shared" ref="M145:M156" si="36">I145*E$69</f>
        <v>-1.638020129088914</v>
      </c>
      <c r="N145" s="241"/>
      <c r="O145" s="241"/>
      <c r="P145" s="279"/>
      <c r="Q145" s="81"/>
      <c r="R145" s="81"/>
      <c r="S145" s="81"/>
    </row>
    <row r="146" spans="8:19" x14ac:dyDescent="0.2">
      <c r="H146" s="2">
        <f t="shared" ref="H146:H156" si="37">H145+$B$75</f>
        <v>1.4701516596167946E-3</v>
      </c>
      <c r="I146" s="114">
        <f t="shared" ref="I146:I156" si="38">($E$68/(2*$J$76*$E$70))*EXP(-H146*$J$68)*SIN($J$76*H146)+$I$61*EXP(-H146*$J$68)*COS($J$76*H146)</f>
        <v>-1.9871676400632865</v>
      </c>
      <c r="J146" s="242">
        <f t="shared" ref="J146:J156" si="39">$E$68-I146*$E$69-K146</f>
        <v>-919.31605690114066</v>
      </c>
      <c r="K146" s="242">
        <f t="shared" ref="K146:K156" si="40">E$68*(1-EXP(-J$68*H146)*(COS(J$76*H146)+(J$68/J$76)*SIN(H146*J$76)))+B$74*SQRT(E$70/E$71)*EXP(-H146*J$68)*SIN(J$76*H146)</f>
        <v>951.04956026034631</v>
      </c>
      <c r="L146" s="2">
        <f t="shared" si="35"/>
        <v>71.70665243828897</v>
      </c>
      <c r="M146">
        <f t="shared" si="36"/>
        <v>-2.9335033592056785</v>
      </c>
      <c r="N146" s="241"/>
      <c r="O146" s="241"/>
      <c r="P146" s="279"/>
      <c r="Q146" s="81"/>
      <c r="R146" s="81"/>
      <c r="S146" s="81"/>
    </row>
    <row r="147" spans="8:19" x14ac:dyDescent="0.2">
      <c r="H147" s="2">
        <f t="shared" si="37"/>
        <v>1.4927693774570529E-3</v>
      </c>
      <c r="I147" s="114">
        <f t="shared" si="38"/>
        <v>-2.8304921370406464</v>
      </c>
      <c r="J147" s="242">
        <f t="shared" si="39"/>
        <v>-875.25617094028655</v>
      </c>
      <c r="K147" s="242">
        <f t="shared" si="40"/>
        <v>908.23460965114919</v>
      </c>
      <c r="L147" s="2">
        <f t="shared" si="35"/>
        <v>68.269981333342358</v>
      </c>
      <c r="M147">
        <f t="shared" si="36"/>
        <v>-4.1784387108626406</v>
      </c>
      <c r="N147" s="241"/>
      <c r="O147" s="241"/>
      <c r="P147" s="279"/>
      <c r="Q147" s="81"/>
      <c r="R147" s="81"/>
      <c r="S147" s="81"/>
    </row>
    <row r="148" spans="8:19" x14ac:dyDescent="0.2">
      <c r="H148" s="2">
        <f t="shared" si="37"/>
        <v>1.5153870952973113E-3</v>
      </c>
      <c r="I148" s="114">
        <f t="shared" si="38"/>
        <v>-3.626413274730417</v>
      </c>
      <c r="J148" s="242">
        <f t="shared" si="39"/>
        <v>-817.56460548186328</v>
      </c>
      <c r="K148" s="242">
        <f t="shared" si="40"/>
        <v>851.718001596421</v>
      </c>
      <c r="L148" s="2">
        <f t="shared" si="35"/>
        <v>63.770039227585336</v>
      </c>
      <c r="M148">
        <f t="shared" si="36"/>
        <v>-5.3533961145577758</v>
      </c>
      <c r="N148" s="241"/>
      <c r="O148" s="241"/>
      <c r="P148" s="279"/>
      <c r="Q148" s="81"/>
      <c r="R148" s="81"/>
      <c r="S148" s="81"/>
    </row>
    <row r="149" spans="8:19" x14ac:dyDescent="0.2">
      <c r="H149" s="2">
        <f t="shared" si="37"/>
        <v>1.5380048131375696E-3</v>
      </c>
      <c r="I149" s="114">
        <f t="shared" si="38"/>
        <v>-4.3625596862013838</v>
      </c>
      <c r="J149" s="242">
        <f t="shared" si="39"/>
        <v>-747.19556470826092</v>
      </c>
      <c r="K149" s="242">
        <f t="shared" si="40"/>
        <v>782.43567737726528</v>
      </c>
      <c r="L149" s="2">
        <f t="shared" si="35"/>
        <v>58.281254047244353</v>
      </c>
      <c r="M149">
        <f t="shared" si="36"/>
        <v>-6.4401126690043409</v>
      </c>
      <c r="N149" s="241"/>
      <c r="O149" s="241"/>
      <c r="P149" s="279"/>
      <c r="Q149" s="81"/>
      <c r="R149" s="81"/>
      <c r="S149" s="81"/>
    </row>
    <row r="150" spans="8:19" x14ac:dyDescent="0.2">
      <c r="H150" s="2">
        <f t="shared" si="37"/>
        <v>1.5606225309778279E-3</v>
      </c>
      <c r="I150" s="114">
        <f t="shared" si="38"/>
        <v>-5.0275427617667487</v>
      </c>
      <c r="J150" s="242">
        <f t="shared" si="39"/>
        <v>-665.29963390737385</v>
      </c>
      <c r="K150" s="242">
        <f t="shared" si="40"/>
        <v>701.52141014952485</v>
      </c>
      <c r="L150" s="2">
        <f t="shared" si="35"/>
        <v>51.893371444775163</v>
      </c>
      <c r="M150">
        <f t="shared" si="36"/>
        <v>-7.4217762421509903</v>
      </c>
      <c r="N150" s="241"/>
      <c r="O150" s="241"/>
      <c r="P150" s="279">
        <f>1000*($H$61+$H$87+H205)</f>
        <v>3.6741246594700283</v>
      </c>
      <c r="Q150" s="81">
        <f>I205/(E$70/E$194)</f>
        <v>5.9508470782624805</v>
      </c>
      <c r="R150" s="81">
        <f>J205</f>
        <v>-402.60393400005245</v>
      </c>
      <c r="S150" s="81">
        <f>K205</f>
        <v>0</v>
      </c>
    </row>
    <row r="151" spans="8:19" x14ac:dyDescent="0.2">
      <c r="H151" s="2">
        <f t="shared" si="37"/>
        <v>1.5832402488180862E-3</v>
      </c>
      <c r="I151" s="114">
        <f t="shared" si="38"/>
        <v>-5.6111326419972132</v>
      </c>
      <c r="J151" s="242">
        <f t="shared" si="39"/>
        <v>-573.20500328528112</v>
      </c>
      <c r="K151" s="242">
        <f t="shared" si="40"/>
        <v>610.28828856146606</v>
      </c>
      <c r="L151" s="2">
        <f t="shared" si="35"/>
        <v>44.709990256251928</v>
      </c>
      <c r="M151">
        <f t="shared" si="36"/>
        <v>-8.2832852761849711</v>
      </c>
      <c r="N151" s="241"/>
      <c r="O151" s="241"/>
      <c r="P151" s="279"/>
      <c r="Q151" s="81"/>
      <c r="R151" s="81"/>
      <c r="S151" s="81"/>
    </row>
    <row r="152" spans="8:19" x14ac:dyDescent="0.2">
      <c r="H152" s="2">
        <f t="shared" si="37"/>
        <v>1.6058579666583445E-3</v>
      </c>
      <c r="I152" s="114">
        <f t="shared" si="38"/>
        <v>-6.1044153746568917</v>
      </c>
      <c r="J152" s="242">
        <f t="shared" si="39"/>
        <v>-472.39595879363787</v>
      </c>
      <c r="K152" s="242">
        <f t="shared" si="40"/>
        <v>510.20743957991539</v>
      </c>
      <c r="L152" s="2">
        <f t="shared" si="35"/>
        <v>36.846884785903754</v>
      </c>
      <c r="M152">
        <f t="shared" si="36"/>
        <v>-9.0114807862775361</v>
      </c>
      <c r="N152" s="241"/>
      <c r="O152" s="241"/>
      <c r="P152" s="279"/>
      <c r="Q152" s="81"/>
      <c r="R152" s="81"/>
      <c r="S152" s="81"/>
    </row>
    <row r="153" spans="8:19" x14ac:dyDescent="0.2">
      <c r="H153" s="2">
        <f t="shared" si="37"/>
        <v>1.6284756844986029E-3</v>
      </c>
      <c r="I153" s="114">
        <f t="shared" si="38"/>
        <v>-6.4999288247122511</v>
      </c>
      <c r="J153" s="242">
        <f t="shared" si="39"/>
        <v>-364.48898781646699</v>
      </c>
      <c r="K153" s="242">
        <f t="shared" si="40"/>
        <v>402.8843348105857</v>
      </c>
      <c r="L153" s="2">
        <f t="shared" si="35"/>
        <v>28.430141049684426</v>
      </c>
      <c r="M153">
        <f t="shared" si="36"/>
        <v>-9.5953469941186995</v>
      </c>
      <c r="N153" s="241"/>
      <c r="O153" s="241"/>
      <c r="P153" s="279"/>
      <c r="Q153" s="81"/>
      <c r="R153" s="81"/>
      <c r="S153" s="81"/>
    </row>
    <row r="154" spans="8:19" x14ac:dyDescent="0.2">
      <c r="H154" s="2">
        <f t="shared" si="37"/>
        <v>1.6510934023388612E-3</v>
      </c>
      <c r="I154" s="114">
        <f t="shared" si="38"/>
        <v>-6.7917752691949405</v>
      </c>
      <c r="J154" s="242">
        <f t="shared" si="39"/>
        <v>-251.20688394139535</v>
      </c>
      <c r="K154" s="242">
        <f t="shared" si="40"/>
        <v>290.0330614844832</v>
      </c>
      <c r="L154" s="2">
        <f t="shared" si="35"/>
        <v>19.594136947428836</v>
      </c>
      <c r="M154">
        <f t="shared" si="36"/>
        <v>-10.026177543087853</v>
      </c>
      <c r="N154" s="241"/>
      <c r="O154" s="241"/>
      <c r="P154" s="279"/>
      <c r="Q154" s="81"/>
      <c r="R154" s="81"/>
      <c r="S154" s="81"/>
    </row>
    <row r="155" spans="8:19" x14ac:dyDescent="0.2">
      <c r="H155" s="2">
        <f t="shared" si="37"/>
        <v>1.6737111201791195E-3</v>
      </c>
      <c r="I155" s="114">
        <f t="shared" si="38"/>
        <v>-6.9757089827390226</v>
      </c>
      <c r="J155" s="242">
        <f t="shared" si="39"/>
        <v>-134.35126524887232</v>
      </c>
      <c r="K155" s="242">
        <f t="shared" si="40"/>
        <v>173.44897004294518</v>
      </c>
      <c r="L155" s="2">
        <f t="shared" si="35"/>
        <v>10.479398689412042</v>
      </c>
      <c r="M155">
        <f t="shared" si="36"/>
        <v>-10.297704794072855</v>
      </c>
      <c r="N155" s="241"/>
      <c r="O155" s="241"/>
      <c r="P155" s="279"/>
      <c r="Q155" s="81"/>
      <c r="R155" s="81"/>
      <c r="S155" s="81"/>
    </row>
    <row r="156" spans="8:19" x14ac:dyDescent="0.2">
      <c r="H156" s="2">
        <f t="shared" si="37"/>
        <v>1.6963288380193778E-3</v>
      </c>
      <c r="I156" s="114">
        <f t="shared" si="38"/>
        <v>-7.049197519065773</v>
      </c>
      <c r="J156" s="242">
        <f t="shared" si="39"/>
        <v>-15.773944134912057</v>
      </c>
      <c r="K156" s="242">
        <f t="shared" si="40"/>
        <v>54.980134425543604</v>
      </c>
      <c r="L156" s="2">
        <f t="shared" si="35"/>
        <v>1.2303676425231405</v>
      </c>
      <c r="M156">
        <f t="shared" si="36"/>
        <v>-10.406190290631548</v>
      </c>
      <c r="N156" s="241"/>
      <c r="O156" s="241"/>
      <c r="P156" s="279"/>
      <c r="Q156" s="81"/>
      <c r="R156" s="81"/>
      <c r="S156" s="81"/>
    </row>
    <row r="157" spans="8:19" x14ac:dyDescent="0.2">
      <c r="H157" s="2"/>
      <c r="I157" s="241"/>
      <c r="J157" s="241"/>
      <c r="K157" s="241"/>
      <c r="M157" s="25"/>
      <c r="N157" s="241"/>
      <c r="O157" s="241"/>
      <c r="P157" s="279"/>
      <c r="Q157" s="81"/>
      <c r="R157" s="81"/>
      <c r="S157" s="81"/>
    </row>
    <row r="158" spans="8:19" x14ac:dyDescent="0.2">
      <c r="H158" s="2"/>
      <c r="I158" s="241"/>
      <c r="J158" s="241"/>
      <c r="K158" s="241"/>
      <c r="M158" s="25"/>
      <c r="N158" s="241"/>
      <c r="O158" s="241"/>
      <c r="P158" s="279"/>
      <c r="Q158" s="81"/>
      <c r="R158" s="81"/>
      <c r="S158" s="81"/>
    </row>
    <row r="159" spans="8:19" x14ac:dyDescent="0.2">
      <c r="H159" s="2"/>
      <c r="I159" s="241"/>
      <c r="J159" s="241"/>
      <c r="K159" s="241"/>
      <c r="M159" s="25"/>
      <c r="N159" s="241"/>
      <c r="O159" s="241"/>
      <c r="P159" s="279"/>
      <c r="Q159" s="81"/>
      <c r="R159" s="81"/>
      <c r="S159" s="81"/>
    </row>
    <row r="160" spans="8:19" x14ac:dyDescent="0.2">
      <c r="H160" s="2"/>
      <c r="I160" s="241"/>
      <c r="J160" s="241"/>
      <c r="K160" s="241"/>
      <c r="P160" s="279"/>
      <c r="Q160" s="81"/>
      <c r="R160" s="81"/>
      <c r="S160" s="81"/>
    </row>
    <row r="161" spans="8:19" x14ac:dyDescent="0.2">
      <c r="H161" s="2"/>
      <c r="I161" s="241"/>
      <c r="J161" s="241"/>
      <c r="K161" s="241"/>
      <c r="N161" s="241"/>
      <c r="O161" s="241"/>
      <c r="P161" s="279"/>
      <c r="Q161" s="81"/>
      <c r="R161" s="81"/>
      <c r="S161" s="81"/>
    </row>
    <row r="162" spans="8:19" x14ac:dyDescent="0.2">
      <c r="H162" s="2"/>
      <c r="I162" s="241"/>
      <c r="J162" s="241"/>
      <c r="K162" s="241"/>
      <c r="N162" s="241"/>
      <c r="O162" s="241"/>
      <c r="P162" s="279"/>
      <c r="Q162" s="81"/>
      <c r="R162" s="81"/>
      <c r="S162" s="81"/>
    </row>
    <row r="163" spans="8:19" x14ac:dyDescent="0.2">
      <c r="H163" s="2"/>
      <c r="I163" s="241"/>
      <c r="J163" s="241"/>
      <c r="K163" s="241"/>
      <c r="N163" s="241"/>
      <c r="O163" s="241"/>
      <c r="P163" s="279"/>
      <c r="Q163" s="81"/>
      <c r="R163" s="81"/>
      <c r="S163" s="81"/>
    </row>
    <row r="164" spans="8:19" x14ac:dyDescent="0.2">
      <c r="H164" s="2"/>
      <c r="I164" s="241"/>
      <c r="J164" s="241"/>
      <c r="K164" s="241"/>
      <c r="N164" s="241"/>
      <c r="O164" s="241"/>
      <c r="P164" s="279"/>
      <c r="Q164" s="81"/>
      <c r="R164" s="81"/>
      <c r="S164" s="81"/>
    </row>
    <row r="165" spans="8:19" x14ac:dyDescent="0.2">
      <c r="H165" s="2"/>
      <c r="I165" s="241"/>
      <c r="J165" s="241"/>
      <c r="K165" s="241"/>
      <c r="N165" s="241"/>
      <c r="O165" s="241"/>
      <c r="P165" s="279"/>
      <c r="Q165" s="81"/>
      <c r="R165" s="81"/>
      <c r="S165" s="81"/>
    </row>
    <row r="166" spans="8:19" x14ac:dyDescent="0.2">
      <c r="H166" s="2"/>
      <c r="I166" s="241"/>
      <c r="J166" s="241"/>
      <c r="K166" s="241"/>
      <c r="N166" s="241"/>
      <c r="O166" s="241"/>
      <c r="P166" s="279"/>
      <c r="Q166" s="81"/>
      <c r="R166" s="81"/>
      <c r="S166" s="81"/>
    </row>
    <row r="167" spans="8:19" x14ac:dyDescent="0.2">
      <c r="H167" s="2"/>
      <c r="I167" s="241"/>
      <c r="J167" s="241"/>
      <c r="K167" s="241"/>
      <c r="N167" s="241"/>
      <c r="O167" s="241"/>
      <c r="P167" s="279"/>
      <c r="Q167" s="81"/>
      <c r="R167" s="81"/>
      <c r="S167" s="81"/>
    </row>
    <row r="168" spans="8:19" x14ac:dyDescent="0.2">
      <c r="H168" s="2"/>
      <c r="I168" s="241"/>
      <c r="J168" s="241"/>
      <c r="K168" s="241"/>
      <c r="N168" s="241"/>
      <c r="O168" s="241"/>
      <c r="P168" s="279"/>
      <c r="Q168" s="81"/>
      <c r="R168" s="81"/>
      <c r="S168" s="81"/>
    </row>
    <row r="169" spans="8:19" x14ac:dyDescent="0.2">
      <c r="H169" s="2"/>
      <c r="I169" s="241"/>
      <c r="J169" s="241"/>
      <c r="K169" s="241"/>
      <c r="N169" s="241"/>
      <c r="O169" s="241"/>
      <c r="P169" s="279"/>
      <c r="Q169" s="81"/>
      <c r="R169" s="81"/>
      <c r="S169" s="81"/>
    </row>
    <row r="170" spans="8:19" x14ac:dyDescent="0.2">
      <c r="H170" s="2"/>
      <c r="I170" s="241"/>
      <c r="J170" s="241"/>
      <c r="K170" s="241"/>
      <c r="P170" s="279"/>
      <c r="Q170" s="81"/>
      <c r="R170" s="81"/>
      <c r="S170" s="81"/>
    </row>
    <row r="171" spans="8:19" x14ac:dyDescent="0.2">
      <c r="H171" s="2"/>
      <c r="I171" s="241"/>
      <c r="J171" s="241"/>
      <c r="K171" s="241"/>
      <c r="P171" s="279"/>
      <c r="Q171" s="81"/>
      <c r="R171" s="81"/>
      <c r="S171" s="81"/>
    </row>
    <row r="172" spans="8:19" x14ac:dyDescent="0.2">
      <c r="H172" s="2"/>
      <c r="I172" s="241"/>
      <c r="J172" s="241"/>
      <c r="K172" s="241"/>
      <c r="P172" s="279"/>
      <c r="Q172" s="81"/>
      <c r="R172" s="81"/>
      <c r="S172" s="81"/>
    </row>
    <row r="173" spans="8:19" x14ac:dyDescent="0.2">
      <c r="H173" s="2"/>
      <c r="I173" s="241"/>
      <c r="J173" s="241"/>
      <c r="K173" s="241"/>
      <c r="P173" s="279"/>
      <c r="Q173" s="81"/>
      <c r="R173" s="81"/>
      <c r="S173" s="81"/>
    </row>
    <row r="174" spans="8:19" x14ac:dyDescent="0.2">
      <c r="H174" s="2"/>
      <c r="I174" s="241"/>
      <c r="J174" s="241"/>
      <c r="K174" s="241"/>
      <c r="P174" s="279"/>
      <c r="Q174" s="81"/>
      <c r="R174" s="81"/>
      <c r="S174" s="81"/>
    </row>
    <row r="175" spans="8:19" x14ac:dyDescent="0.2">
      <c r="H175" s="2"/>
      <c r="I175" s="241"/>
      <c r="J175" s="241"/>
      <c r="K175" s="241"/>
      <c r="P175" s="279"/>
      <c r="Q175" s="81"/>
      <c r="R175" s="81"/>
      <c r="S175" s="81"/>
    </row>
    <row r="176" spans="8:19" x14ac:dyDescent="0.2">
      <c r="H176" s="2"/>
      <c r="I176" s="241"/>
      <c r="J176" s="241"/>
      <c r="K176" s="241"/>
      <c r="P176" s="279"/>
      <c r="Q176" s="81"/>
      <c r="R176" s="81"/>
      <c r="S176" s="81"/>
    </row>
    <row r="177" spans="1:19" x14ac:dyDescent="0.2">
      <c r="H177" s="2"/>
      <c r="I177" s="241"/>
      <c r="J177" s="241"/>
      <c r="K177" s="241"/>
      <c r="P177" s="279"/>
      <c r="Q177" s="81"/>
      <c r="R177" s="81"/>
      <c r="S177" s="81"/>
    </row>
    <row r="178" spans="1:19" x14ac:dyDescent="0.2">
      <c r="H178" s="2"/>
      <c r="I178" s="241"/>
      <c r="J178" s="241"/>
      <c r="K178" s="241"/>
      <c r="P178" s="279"/>
      <c r="Q178" s="81"/>
      <c r="R178" s="81"/>
      <c r="S178" s="81"/>
    </row>
    <row r="179" spans="1:19" x14ac:dyDescent="0.2">
      <c r="P179" s="279"/>
      <c r="Q179" s="81"/>
      <c r="R179" s="81"/>
      <c r="S179" s="81"/>
    </row>
    <row r="180" spans="1:19" x14ac:dyDescent="0.2">
      <c r="P180" s="279"/>
      <c r="Q180" s="81"/>
      <c r="R180" s="81"/>
      <c r="S180" s="81"/>
    </row>
    <row r="181" spans="1:19" x14ac:dyDescent="0.2">
      <c r="P181" s="279"/>
      <c r="Q181" s="81"/>
      <c r="R181" s="81"/>
      <c r="S181" s="81"/>
    </row>
    <row r="182" spans="1:19" x14ac:dyDescent="0.2">
      <c r="P182" s="279"/>
      <c r="Q182" s="81"/>
      <c r="R182" s="81"/>
      <c r="S182" s="81"/>
    </row>
    <row r="183" spans="1:19" x14ac:dyDescent="0.2">
      <c r="P183" s="279"/>
      <c r="Q183" s="81"/>
      <c r="R183" s="81"/>
      <c r="S183" s="81"/>
    </row>
    <row r="184" spans="1:19" x14ac:dyDescent="0.2">
      <c r="P184" s="279"/>
      <c r="Q184" s="81"/>
      <c r="R184" s="81"/>
      <c r="S184" s="81"/>
    </row>
    <row r="185" spans="1:19" x14ac:dyDescent="0.2">
      <c r="P185" s="279"/>
      <c r="Q185" s="81"/>
      <c r="R185" s="81"/>
      <c r="S185" s="81"/>
    </row>
    <row r="186" spans="1:19" x14ac:dyDescent="0.2">
      <c r="P186" s="279"/>
      <c r="Q186" s="81"/>
      <c r="R186" s="81"/>
      <c r="S186" s="81"/>
    </row>
    <row r="187" spans="1:19" x14ac:dyDescent="0.2">
      <c r="P187" s="279"/>
      <c r="Q187" s="81"/>
      <c r="R187" s="81"/>
      <c r="S187" s="81"/>
    </row>
    <row r="188" spans="1:19" x14ac:dyDescent="0.2">
      <c r="P188" s="279"/>
      <c r="Q188" s="81"/>
      <c r="R188" s="81"/>
      <c r="S188" s="81"/>
    </row>
    <row r="189" spans="1:19" ht="20.25" x14ac:dyDescent="0.3">
      <c r="A189" s="46" t="s">
        <v>387</v>
      </c>
      <c r="I189" s="241"/>
      <c r="J189" s="242" t="s">
        <v>198</v>
      </c>
      <c r="K189" s="241"/>
      <c r="P189" s="279"/>
      <c r="Q189" s="81"/>
      <c r="R189" s="81"/>
      <c r="S189" s="81"/>
    </row>
    <row r="190" spans="1:19" x14ac:dyDescent="0.2">
      <c r="I190" s="241"/>
      <c r="J190" s="278">
        <f>J193*(2*E194)</f>
        <v>40035.024016478383</v>
      </c>
      <c r="K190" s="241"/>
      <c r="P190" s="279"/>
      <c r="Q190" s="81"/>
      <c r="R190" s="81"/>
      <c r="S190" s="81"/>
    </row>
    <row r="191" spans="1:19" x14ac:dyDescent="0.2">
      <c r="A191" t="s">
        <v>200</v>
      </c>
      <c r="E191" s="33" t="s">
        <v>199</v>
      </c>
      <c r="G191" t="s">
        <v>201</v>
      </c>
      <c r="I191" s="241"/>
      <c r="J191" s="241"/>
      <c r="K191" s="241"/>
      <c r="P191" s="279"/>
      <c r="Q191" s="81"/>
      <c r="R191" s="81"/>
      <c r="S191" s="81"/>
    </row>
    <row r="192" spans="1:19" ht="14.25" x14ac:dyDescent="0.2">
      <c r="A192" s="33" t="s">
        <v>202</v>
      </c>
      <c r="B192" s="10">
        <f>B4</f>
        <v>28.8</v>
      </c>
      <c r="C192" t="s">
        <v>837</v>
      </c>
      <c r="D192" s="33" t="s">
        <v>202</v>
      </c>
      <c r="E192" s="10">
        <f>B4</f>
        <v>28.8</v>
      </c>
      <c r="F192" t="s">
        <v>837</v>
      </c>
      <c r="G192" s="236" t="s">
        <v>203</v>
      </c>
      <c r="H192" s="2">
        <f>J192*J192</f>
        <v>13411109.68164606</v>
      </c>
      <c r="I192" s="243" t="s">
        <v>204</v>
      </c>
      <c r="J192" s="242">
        <f>E193/(2*E194)</f>
        <v>3662.1181960234517</v>
      </c>
      <c r="K192" s="244" t="s">
        <v>205</v>
      </c>
      <c r="P192" s="279"/>
      <c r="Q192" s="81"/>
      <c r="R192" s="81"/>
      <c r="S192" s="81"/>
    </row>
    <row r="193" spans="1:19" ht="15.75" x14ac:dyDescent="0.3">
      <c r="A193" s="33" t="s">
        <v>206</v>
      </c>
      <c r="B193" s="10">
        <f>F23</f>
        <v>8.8044818594017098</v>
      </c>
      <c r="C193" t="s">
        <v>965</v>
      </c>
      <c r="D193" s="33" t="s">
        <v>206</v>
      </c>
      <c r="E193" s="10">
        <f>F23</f>
        <v>8.8044818594017098</v>
      </c>
      <c r="F193" t="s">
        <v>965</v>
      </c>
      <c r="G193" s="147" t="s">
        <v>207</v>
      </c>
      <c r="H193" s="2">
        <f>1/(E194*E195)</f>
        <v>277291971256125.94</v>
      </c>
      <c r="I193" s="243" t="s">
        <v>208</v>
      </c>
      <c r="J193" s="242">
        <f>SQRT(H193)</f>
        <v>16652086.093223453</v>
      </c>
      <c r="K193" s="241"/>
      <c r="P193" s="279"/>
      <c r="Q193" s="81"/>
      <c r="R193" s="81"/>
      <c r="S193" s="81"/>
    </row>
    <row r="194" spans="1:19" x14ac:dyDescent="0.2">
      <c r="A194" s="33" t="s">
        <v>209</v>
      </c>
      <c r="B194" s="10">
        <f>F24</f>
        <v>1.2021023610000008E-3</v>
      </c>
      <c r="C194" t="s">
        <v>995</v>
      </c>
      <c r="D194" s="33" t="s">
        <v>209</v>
      </c>
      <c r="E194" s="10">
        <f>F24</f>
        <v>1.2021023610000008E-3</v>
      </c>
      <c r="F194" t="s">
        <v>898</v>
      </c>
      <c r="G194" s="2" t="s">
        <v>210</v>
      </c>
      <c r="H194" s="2">
        <f>E192/E194</f>
        <v>23958.026316529282</v>
      </c>
      <c r="I194" s="241"/>
      <c r="J194" s="241"/>
      <c r="K194" s="241"/>
      <c r="P194" s="279"/>
      <c r="Q194" s="81"/>
      <c r="R194" s="81"/>
      <c r="S194" s="81"/>
    </row>
    <row r="195" spans="1:19" ht="15.75" x14ac:dyDescent="0.3">
      <c r="A195" s="33" t="s">
        <v>211</v>
      </c>
      <c r="B195" s="10">
        <f>F25</f>
        <v>3.0000000000000001E-6</v>
      </c>
      <c r="C195" t="s">
        <v>1160</v>
      </c>
      <c r="D195" s="33" t="s">
        <v>211</v>
      </c>
      <c r="E195" s="10">
        <f>F25*0.000001</f>
        <v>3.0000000000000001E-12</v>
      </c>
      <c r="F195" t="s">
        <v>212</v>
      </c>
      <c r="G195" s="113" t="s">
        <v>213</v>
      </c>
      <c r="H195" s="242">
        <f>J193/(2*PI())</f>
        <v>2650261.8145283205</v>
      </c>
      <c r="I195" s="241" t="s">
        <v>214</v>
      </c>
      <c r="J195" s="279">
        <f>1/H195</f>
        <v>3.7732121200937829E-7</v>
      </c>
      <c r="K195" s="241" t="s">
        <v>215</v>
      </c>
      <c r="L195" t="s">
        <v>399</v>
      </c>
      <c r="P195" s="279"/>
      <c r="Q195" s="81"/>
      <c r="R195" s="81"/>
      <c r="S195" s="81"/>
    </row>
    <row r="196" spans="1:19" x14ac:dyDescent="0.2">
      <c r="I196" s="241"/>
      <c r="J196" s="241"/>
      <c r="K196" s="241"/>
      <c r="L196" t="s">
        <v>393</v>
      </c>
      <c r="M196" t="s">
        <v>392</v>
      </c>
      <c r="N196" t="s">
        <v>391</v>
      </c>
      <c r="P196" s="279"/>
      <c r="Q196" s="81"/>
      <c r="R196" s="81"/>
      <c r="S196" s="81"/>
    </row>
    <row r="197" spans="1:19" x14ac:dyDescent="0.2">
      <c r="A197" t="s">
        <v>216</v>
      </c>
      <c r="B197" s="17">
        <v>0</v>
      </c>
      <c r="E197" t="s">
        <v>217</v>
      </c>
      <c r="I197" s="241"/>
      <c r="J197" s="241"/>
      <c r="K197" s="241"/>
      <c r="L197" s="87">
        <f>E69/E193</f>
        <v>0.16766726516672617</v>
      </c>
      <c r="M197" s="284">
        <f>E70/E194</f>
        <v>8.2338226428289936</v>
      </c>
      <c r="N197" s="123">
        <f>E71/E195</f>
        <v>1090972.0460688632</v>
      </c>
      <c r="P197" s="279"/>
      <c r="Q197" s="81"/>
      <c r="R197" s="81"/>
      <c r="S197" s="81"/>
    </row>
    <row r="198" spans="1:19" ht="21" x14ac:dyDescent="0.35">
      <c r="A198" s="33" t="s">
        <v>598</v>
      </c>
      <c r="B198" s="19">
        <f>E192/E193</f>
        <v>3.2710613139882199</v>
      </c>
      <c r="C198" t="s">
        <v>895</v>
      </c>
      <c r="D198" s="33" t="s">
        <v>218</v>
      </c>
      <c r="E198" s="147" t="s">
        <v>219</v>
      </c>
      <c r="F198" t="b">
        <f>IF(H192&gt;H193,TRUE(),FALSE())</f>
        <v>0</v>
      </c>
      <c r="G198" t="s">
        <v>220</v>
      </c>
      <c r="I198" s="246" t="s">
        <v>221</v>
      </c>
      <c r="J198" s="241" t="str">
        <f>IF(F198,SQRT(H192-H193),"")</f>
        <v/>
      </c>
      <c r="K198" s="241"/>
    </row>
    <row r="199" spans="1:19" ht="15.75" x14ac:dyDescent="0.3">
      <c r="A199" s="33" t="s">
        <v>355</v>
      </c>
      <c r="B199" s="257">
        <f>B200*J195</f>
        <v>1.1319636360281348E-8</v>
      </c>
      <c r="C199" t="s">
        <v>215</v>
      </c>
      <c r="D199" s="33" t="s">
        <v>222</v>
      </c>
      <c r="E199" s="147" t="s">
        <v>223</v>
      </c>
      <c r="F199" t="b">
        <f>IF(H192=H193,TRUE(),FALSE())</f>
        <v>0</v>
      </c>
      <c r="G199" t="s">
        <v>224</v>
      </c>
      <c r="I199" s="246" t="s">
        <v>221</v>
      </c>
      <c r="J199" s="241" t="str">
        <f>IF(F199,0,"")</f>
        <v/>
      </c>
      <c r="L199" s="30" t="s">
        <v>397</v>
      </c>
      <c r="M199" s="87">
        <f>H87*1000000</f>
        <v>135.70630704155036</v>
      </c>
      <c r="N199" t="s">
        <v>398</v>
      </c>
    </row>
    <row r="200" spans="1:19" ht="15.75" x14ac:dyDescent="0.3">
      <c r="A200" t="s">
        <v>263</v>
      </c>
      <c r="B200" s="338">
        <v>0.03</v>
      </c>
      <c r="D200" s="33" t="s">
        <v>225</v>
      </c>
      <c r="E200" s="147" t="s">
        <v>226</v>
      </c>
      <c r="F200" t="b">
        <f>IF(H192&lt;H193,TRUE(),FALSE())</f>
        <v>1</v>
      </c>
      <c r="G200" t="s">
        <v>227</v>
      </c>
      <c r="I200" s="246" t="s">
        <v>228</v>
      </c>
      <c r="J200" s="241">
        <f>IF(F200,SQRT(H193-H192),"")</f>
        <v>16652085.690537876</v>
      </c>
      <c r="K200" s="247" t="s">
        <v>229</v>
      </c>
      <c r="L200" t="s">
        <v>395</v>
      </c>
      <c r="M200" t="s">
        <v>394</v>
      </c>
      <c r="N200" t="s">
        <v>396</v>
      </c>
      <c r="O200" t="s">
        <v>388</v>
      </c>
    </row>
    <row r="201" spans="1:19" ht="15.75" x14ac:dyDescent="0.3">
      <c r="D201" s="33"/>
      <c r="E201" s="147"/>
      <c r="G201" s="248" t="s">
        <v>230</v>
      </c>
      <c r="H201" s="242">
        <f>J200/(2*PI())</f>
        <v>2650261.7504389202</v>
      </c>
      <c r="I201" s="246"/>
      <c r="J201" s="116"/>
      <c r="L201" s="87">
        <f>M87</f>
        <v>8.7847796744749349</v>
      </c>
      <c r="M201" s="285">
        <v>-50.158052263883903</v>
      </c>
      <c r="N201" s="87">
        <v>51.950774298612821</v>
      </c>
    </row>
    <row r="202" spans="1:19" ht="15.75" x14ac:dyDescent="0.3">
      <c r="I202" s="241"/>
      <c r="J202" s="241" t="s">
        <v>389</v>
      </c>
      <c r="K202" s="241"/>
    </row>
    <row r="203" spans="1:19" ht="14.25" x14ac:dyDescent="0.25">
      <c r="H203" s="249" t="s">
        <v>233</v>
      </c>
      <c r="I203" s="250" t="s">
        <v>878</v>
      </c>
      <c r="J203" s="250" t="s">
        <v>234</v>
      </c>
      <c r="K203" s="250" t="s">
        <v>235</v>
      </c>
      <c r="L203" s="250" t="s">
        <v>386</v>
      </c>
      <c r="M203" s="250" t="s">
        <v>390</v>
      </c>
      <c r="N203" s="250" t="s">
        <v>400</v>
      </c>
      <c r="P203" s="250" t="s">
        <v>402</v>
      </c>
      <c r="R203" s="250" t="s">
        <v>403</v>
      </c>
    </row>
    <row r="204" spans="1:19" x14ac:dyDescent="0.2">
      <c r="H204" s="2" t="s">
        <v>236</v>
      </c>
      <c r="I204" s="242" t="s">
        <v>237</v>
      </c>
      <c r="J204" s="242" t="s">
        <v>238</v>
      </c>
      <c r="K204" s="242" t="s">
        <v>238</v>
      </c>
      <c r="L204" s="242" t="s">
        <v>385</v>
      </c>
      <c r="M204" s="242" t="s">
        <v>238</v>
      </c>
      <c r="N204" s="242" t="s">
        <v>401</v>
      </c>
      <c r="P204" s="242" t="s">
        <v>401</v>
      </c>
    </row>
    <row r="205" spans="1:19" x14ac:dyDescent="0.2">
      <c r="H205" s="2">
        <v>0</v>
      </c>
      <c r="I205" s="114">
        <f t="shared" ref="I205:I236" si="41">(E$192/(2*J$200*E$194))*EXP(-H$205*J$192)*SIN(J$200*H205)+(E$70/E$194)*I$87*EXP(-H$205*J$192)*COS(J$200*H205)</f>
        <v>48.998219417010375</v>
      </c>
      <c r="J205" s="283">
        <f>(E$192-I205*E$193-K205)</f>
        <v>-402.60393400005245</v>
      </c>
      <c r="K205" s="242">
        <f t="shared" ref="K205:K236" si="42">E$192*(1-EXP(-J$192*H205)*(COS(J$200*H205)+(J$192/J$200)*SIN(H205*J$200)))+B$198*SQRT(E$194/E$195)*EXP(-H205*J$192)*SIN(J$200*H205)</f>
        <v>0</v>
      </c>
      <c r="L205" s="2">
        <f t="shared" ref="L205:L236" si="43">-0.001*$B$20*J205</f>
        <v>31.40310685200409</v>
      </c>
      <c r="M205">
        <f t="shared" ref="M205:M236" si="44">I205*E$193</f>
        <v>431.40393400005246</v>
      </c>
      <c r="N205">
        <f>I205/$B$20</f>
        <v>0.62818230021808175</v>
      </c>
      <c r="P205">
        <f>L205/(B18)</f>
        <v>0.62806213704008185</v>
      </c>
    </row>
    <row r="206" spans="1:19" x14ac:dyDescent="0.2">
      <c r="H206" s="280">
        <f t="shared" ref="H206:H237" si="45">H205+$B$199</f>
        <v>1.1319636360281348E-8</v>
      </c>
      <c r="I206" s="114">
        <f t="shared" si="41"/>
        <v>48.130461080105754</v>
      </c>
      <c r="J206" s="242">
        <f t="shared" ref="J206:J237" si="46">E$192-I206*E$193-K206</f>
        <v>-12664.414104420606</v>
      </c>
      <c r="K206" s="242">
        <f t="shared" si="42"/>
        <v>12269.450332956176</v>
      </c>
      <c r="L206" s="2">
        <f t="shared" si="43"/>
        <v>987.82430014480724</v>
      </c>
      <c r="M206">
        <f t="shared" si="44"/>
        <v>423.76377146443116</v>
      </c>
    </row>
    <row r="207" spans="1:19" x14ac:dyDescent="0.2">
      <c r="H207" s="280">
        <f t="shared" si="45"/>
        <v>2.2639272720562695E-8</v>
      </c>
      <c r="I207" s="114">
        <f t="shared" si="41"/>
        <v>45.557657246571601</v>
      </c>
      <c r="J207" s="242">
        <f t="shared" si="46"/>
        <v>-24476.58187769822</v>
      </c>
      <c r="K207" s="242">
        <f t="shared" si="42"/>
        <v>24104.27031091394</v>
      </c>
      <c r="L207" s="2">
        <f t="shared" si="43"/>
        <v>1909.1733864604612</v>
      </c>
      <c r="M207">
        <f t="shared" si="44"/>
        <v>401.11156678428051</v>
      </c>
    </row>
    <row r="208" spans="1:19" x14ac:dyDescent="0.2">
      <c r="H208" s="280">
        <f t="shared" si="45"/>
        <v>3.3958909080844041E-8</v>
      </c>
      <c r="I208" s="114">
        <f t="shared" si="41"/>
        <v>41.370950770468198</v>
      </c>
      <c r="J208" s="242">
        <f t="shared" si="46"/>
        <v>-35420.708733489788</v>
      </c>
      <c r="K208" s="242">
        <f t="shared" si="42"/>
        <v>35085.258947925002</v>
      </c>
      <c r="L208" s="2">
        <f t="shared" si="43"/>
        <v>2762.8152812122034</v>
      </c>
      <c r="M208">
        <f t="shared" si="44"/>
        <v>364.24978556478845</v>
      </c>
    </row>
    <row r="209" spans="1:13" x14ac:dyDescent="0.2">
      <c r="H209" s="280">
        <f t="shared" si="45"/>
        <v>4.527854544112539E-8</v>
      </c>
      <c r="I209" s="114">
        <f t="shared" si="41"/>
        <v>35.718657808811137</v>
      </c>
      <c r="J209" s="242">
        <f t="shared" si="46"/>
        <v>-45109.180433394642</v>
      </c>
      <c r="K209" s="242">
        <f t="shared" si="42"/>
        <v>44823.496158674789</v>
      </c>
      <c r="L209" s="2">
        <f t="shared" si="43"/>
        <v>3518.5160738047821</v>
      </c>
      <c r="M209">
        <f t="shared" si="44"/>
        <v>314.48427471985491</v>
      </c>
    </row>
    <row r="210" spans="1:13" ht="15.75" x14ac:dyDescent="0.3">
      <c r="A210" s="33"/>
      <c r="B210" s="18"/>
      <c r="C210" s="18"/>
      <c r="D210" s="116" t="s">
        <v>356</v>
      </c>
      <c r="E210" s="116" t="s">
        <v>357</v>
      </c>
      <c r="H210" s="280">
        <f t="shared" si="45"/>
        <v>5.659818180140674E-8</v>
      </c>
      <c r="I210" s="114">
        <f t="shared" si="41"/>
        <v>28.801013648020469</v>
      </c>
      <c r="J210" s="242">
        <f t="shared" si="46"/>
        <v>-53198.895367056386</v>
      </c>
      <c r="K210" s="242">
        <f t="shared" si="42"/>
        <v>52974.117364860009</v>
      </c>
      <c r="L210" s="2">
        <f t="shared" si="43"/>
        <v>4149.5138386303979</v>
      </c>
      <c r="M210">
        <f t="shared" si="44"/>
        <v>253.57800219637727</v>
      </c>
    </row>
    <row r="211" spans="1:13" x14ac:dyDescent="0.2">
      <c r="A211" s="85"/>
      <c r="B211" s="18"/>
      <c r="C211" s="18"/>
      <c r="D211" s="85"/>
      <c r="E211" s="255"/>
      <c r="H211" s="280">
        <f t="shared" si="45"/>
        <v>6.7917818161688082E-8</v>
      </c>
      <c r="I211" s="114">
        <f t="shared" si="41"/>
        <v>20.863079269415529</v>
      </c>
      <c r="J211" s="242">
        <f t="shared" si="46"/>
        <v>-59403.414938946931</v>
      </c>
      <c r="K211" s="242">
        <f t="shared" si="42"/>
        <v>59248.526335988099</v>
      </c>
      <c r="L211" s="2">
        <f t="shared" si="43"/>
        <v>4633.4663652378604</v>
      </c>
      <c r="M211">
        <f t="shared" si="44"/>
        <v>183.68860295882891</v>
      </c>
    </row>
    <row r="212" spans="1:13" x14ac:dyDescent="0.2">
      <c r="A212" s="33"/>
      <c r="B212" s="18"/>
      <c r="C212" s="18"/>
      <c r="D212" s="85"/>
      <c r="E212" s="255"/>
      <c r="H212" s="280">
        <f t="shared" si="45"/>
        <v>7.9237454521969432E-8</v>
      </c>
      <c r="I212" s="114">
        <f t="shared" si="41"/>
        <v>12.186059942196916</v>
      </c>
      <c r="J212" s="242">
        <f t="shared" si="46"/>
        <v>-63503.105709734555</v>
      </c>
      <c r="K212" s="242">
        <f t="shared" si="42"/>
        <v>63424.613766035902</v>
      </c>
      <c r="L212" s="2">
        <f t="shared" si="43"/>
        <v>4953.2422453592953</v>
      </c>
      <c r="M212">
        <f t="shared" si="44"/>
        <v>107.29194369865459</v>
      </c>
    </row>
    <row r="213" spans="1:13" ht="15.75" x14ac:dyDescent="0.3">
      <c r="E213" t="s">
        <v>376</v>
      </c>
      <c r="H213" s="280">
        <f t="shared" si="45"/>
        <v>9.0557090882250781E-8</v>
      </c>
      <c r="I213" s="114">
        <f t="shared" si="41"/>
        <v>3.0773433870726841</v>
      </c>
      <c r="J213" s="242">
        <f t="shared" si="46"/>
        <v>-65352.914182160523</v>
      </c>
      <c r="K213" s="242">
        <f t="shared" si="42"/>
        <v>65354.619768133889</v>
      </c>
      <c r="L213" s="2">
        <f t="shared" si="43"/>
        <v>5097.5273062085207</v>
      </c>
      <c r="M213">
        <f t="shared" si="44"/>
        <v>27.094414026631259</v>
      </c>
    </row>
    <row r="214" spans="1:13" x14ac:dyDescent="0.2">
      <c r="H214" s="280">
        <f t="shared" si="45"/>
        <v>1.0187672724253213E-7</v>
      </c>
      <c r="I214" s="114">
        <f t="shared" si="41"/>
        <v>-6.1403895864685163</v>
      </c>
      <c r="J214" s="242">
        <f t="shared" si="46"/>
        <v>-64887.499012633256</v>
      </c>
      <c r="K214" s="242">
        <f t="shared" si="42"/>
        <v>64970.361961356975</v>
      </c>
      <c r="L214" s="2">
        <f t="shared" si="43"/>
        <v>5061.2249229853942</v>
      </c>
      <c r="M214">
        <f t="shared" si="44"/>
        <v>-54.06294872372122</v>
      </c>
    </row>
    <row r="215" spans="1:13" x14ac:dyDescent="0.2">
      <c r="A215" s="33"/>
      <c r="B215" s="27"/>
      <c r="H215" s="280">
        <f t="shared" si="45"/>
        <v>1.1319636360281348E-7</v>
      </c>
      <c r="I215" s="114">
        <f t="shared" si="41"/>
        <v>-15.140596208152553</v>
      </c>
      <c r="J215" s="242">
        <f t="shared" si="46"/>
        <v>-62123.539063466887</v>
      </c>
      <c r="K215" s="242">
        <f t="shared" si="42"/>
        <v>62285.644168122089</v>
      </c>
      <c r="L215" s="2">
        <f t="shared" si="43"/>
        <v>4845.636046950417</v>
      </c>
      <c r="M215">
        <f t="shared" si="44"/>
        <v>-133.30510465520547</v>
      </c>
    </row>
    <row r="216" spans="1:13" ht="15.75" x14ac:dyDescent="0.3">
      <c r="A216" s="33"/>
      <c r="B216" s="276"/>
      <c r="D216" s="2" t="s">
        <v>371</v>
      </c>
      <c r="E216" t="s">
        <v>372</v>
      </c>
      <c r="H216" s="280">
        <f t="shared" si="45"/>
        <v>1.2451599996309483E-7</v>
      </c>
      <c r="I216" s="114">
        <f t="shared" si="41"/>
        <v>-23.604439686794361</v>
      </c>
      <c r="J216" s="242">
        <f t="shared" si="46"/>
        <v>-57159.135769139044</v>
      </c>
      <c r="K216" s="242">
        <f t="shared" si="42"/>
        <v>57395.760630162767</v>
      </c>
      <c r="L216" s="2">
        <f t="shared" si="43"/>
        <v>4458.4125899928458</v>
      </c>
      <c r="M216">
        <f t="shared" si="44"/>
        <v>-207.82486102372272</v>
      </c>
    </row>
    <row r="217" spans="1:13" x14ac:dyDescent="0.2">
      <c r="A217" s="33"/>
      <c r="B217" s="277"/>
      <c r="H217" s="280">
        <f t="shared" si="45"/>
        <v>1.3583563632337616E-7</v>
      </c>
      <c r="I217" s="114">
        <f t="shared" si="41"/>
        <v>-31.232084162034813</v>
      </c>
      <c r="J217" s="242">
        <f t="shared" si="46"/>
        <v>-50170.331228106901</v>
      </c>
      <c r="K217" s="242">
        <f t="shared" si="42"/>
        <v>50474.113546542845</v>
      </c>
      <c r="L217" s="2">
        <f t="shared" si="43"/>
        <v>3913.2858357923383</v>
      </c>
      <c r="M217">
        <f t="shared" si="44"/>
        <v>-274.98231843594294</v>
      </c>
    </row>
    <row r="218" spans="1:13" x14ac:dyDescent="0.2">
      <c r="E218" s="33" t="s">
        <v>259</v>
      </c>
      <c r="H218" s="280">
        <f t="shared" si="45"/>
        <v>1.471552726836575E-7</v>
      </c>
      <c r="I218" s="114">
        <f t="shared" si="41"/>
        <v>-37.753316538662652</v>
      </c>
      <c r="J218" s="242">
        <f t="shared" si="46"/>
        <v>-41404.865602865386</v>
      </c>
      <c r="K218" s="242">
        <f t="shared" si="42"/>
        <v>41766.063993462289</v>
      </c>
      <c r="L218" s="2">
        <f t="shared" si="43"/>
        <v>3229.5795170235001</v>
      </c>
      <c r="M218">
        <f t="shared" si="44"/>
        <v>-332.39839059690587</v>
      </c>
    </row>
    <row r="219" spans="1:13" x14ac:dyDescent="0.2">
      <c r="H219" s="280">
        <f t="shared" si="45"/>
        <v>1.5847490904393884E-7</v>
      </c>
      <c r="I219" s="114">
        <f t="shared" si="41"/>
        <v>-42.937118919763527</v>
      </c>
      <c r="J219" s="242">
        <f t="shared" si="46"/>
        <v>-31173.395195797115</v>
      </c>
      <c r="K219" s="242">
        <f t="shared" si="42"/>
        <v>31580.234280421148</v>
      </c>
      <c r="L219" s="2">
        <f t="shared" si="43"/>
        <v>2431.5248252721749</v>
      </c>
      <c r="M219">
        <f t="shared" si="44"/>
        <v>-378.03908462403194</v>
      </c>
    </row>
    <row r="220" spans="1:13" x14ac:dyDescent="0.2">
      <c r="H220" s="280">
        <f t="shared" si="45"/>
        <v>1.6979454540422017E-7</v>
      </c>
      <c r="I220" s="114">
        <f t="shared" si="41"/>
        <v>-46.599852530495831</v>
      </c>
      <c r="J220" s="242">
        <f t="shared" si="46"/>
        <v>-19838.482503369567</v>
      </c>
      <c r="K220" s="242">
        <f t="shared" si="42"/>
        <v>20277.570059625112</v>
      </c>
      <c r="L220" s="2">
        <f t="shared" si="43"/>
        <v>1547.4016352628262</v>
      </c>
      <c r="M220">
        <f t="shared" si="44"/>
        <v>-410.28755625554538</v>
      </c>
    </row>
    <row r="221" spans="1:13" ht="15.75" x14ac:dyDescent="0.3">
      <c r="D221" s="2" t="s">
        <v>373</v>
      </c>
      <c r="E221" t="s">
        <v>374</v>
      </c>
      <c r="H221" s="280">
        <f t="shared" si="45"/>
        <v>1.8111418176450151E-7</v>
      </c>
      <c r="I221" s="114">
        <f t="shared" si="41"/>
        <v>-48.611763212927443</v>
      </c>
      <c r="J221" s="242">
        <f t="shared" si="46"/>
        <v>-7801.7484511622824</v>
      </c>
      <c r="K221" s="242">
        <f t="shared" si="42"/>
        <v>8258.5498385240335</v>
      </c>
      <c r="L221" s="2">
        <f t="shared" si="43"/>
        <v>608.53637919065807</v>
      </c>
      <c r="M221">
        <f t="shared" si="44"/>
        <v>-428.00138736175103</v>
      </c>
    </row>
    <row r="222" spans="1:13" ht="15.75" x14ac:dyDescent="0.3">
      <c r="F222" s="2" t="s">
        <v>375</v>
      </c>
      <c r="H222" s="280">
        <f t="shared" si="45"/>
        <v>1.9243381812478285E-7</v>
      </c>
      <c r="I222" s="114">
        <f t="shared" si="41"/>
        <v>-48.901578031546876</v>
      </c>
      <c r="J222" s="242">
        <f t="shared" si="46"/>
        <v>4510.3579169912591</v>
      </c>
      <c r="K222" s="242">
        <f t="shared" si="42"/>
        <v>-4051.0048603163877</v>
      </c>
      <c r="L222" s="2">
        <f t="shared" si="43"/>
        <v>-351.8079175253182</v>
      </c>
      <c r="M222">
        <f t="shared" si="44"/>
        <v>-430.55305667487164</v>
      </c>
    </row>
    <row r="223" spans="1:13" x14ac:dyDescent="0.2">
      <c r="H223" s="280">
        <f t="shared" si="45"/>
        <v>2.0375345448506418E-7</v>
      </c>
      <c r="I223" s="114">
        <f t="shared" si="41"/>
        <v>-47.45903015241457</v>
      </c>
      <c r="J223" s="242">
        <f t="shared" si="46"/>
        <v>16661.668084715675</v>
      </c>
      <c r="K223" s="242">
        <f t="shared" si="42"/>
        <v>-16215.015914673942</v>
      </c>
      <c r="L223" s="2">
        <f t="shared" si="43"/>
        <v>-1299.6101106078227</v>
      </c>
      <c r="M223">
        <f t="shared" si="44"/>
        <v>-417.85217004173285</v>
      </c>
    </row>
    <row r="224" spans="1:13" x14ac:dyDescent="0.2">
      <c r="H224" s="280">
        <f t="shared" si="45"/>
        <v>2.1507309084534552E-7</v>
      </c>
      <c r="I224" s="114">
        <f t="shared" si="41"/>
        <v>-44.335222550856152</v>
      </c>
      <c r="J224" s="242">
        <f t="shared" si="46"/>
        <v>28221.745760177473</v>
      </c>
      <c r="K224" s="242">
        <f t="shared" si="42"/>
        <v>-27802.597097495924</v>
      </c>
      <c r="L224" s="2">
        <f t="shared" si="43"/>
        <v>-2201.2961692938429</v>
      </c>
      <c r="M224">
        <f t="shared" si="44"/>
        <v>-390.34866268155059</v>
      </c>
    </row>
    <row r="225" spans="8:13" x14ac:dyDescent="0.2">
      <c r="H225" s="280">
        <f t="shared" si="45"/>
        <v>2.2639272720562685E-7</v>
      </c>
      <c r="I225" s="114">
        <f t="shared" si="41"/>
        <v>-39.640817663171752</v>
      </c>
      <c r="J225" s="242">
        <f t="shared" si="46"/>
        <v>38781.134233135555</v>
      </c>
      <c r="K225" s="242">
        <f t="shared" si="42"/>
        <v>-38403.31737312831</v>
      </c>
      <c r="L225" s="2">
        <f t="shared" si="43"/>
        <v>-3024.9284701845731</v>
      </c>
      <c r="M225">
        <f t="shared" si="44"/>
        <v>-349.01686000724658</v>
      </c>
    </row>
    <row r="226" spans="8:13" x14ac:dyDescent="0.2">
      <c r="H226" s="280">
        <f t="shared" si="45"/>
        <v>2.3771236356590819E-7</v>
      </c>
      <c r="I226" s="114">
        <f t="shared" si="41"/>
        <v>-33.542117114849262</v>
      </c>
      <c r="J226" s="242">
        <f t="shared" si="46"/>
        <v>47965.859284501719</v>
      </c>
      <c r="K226" s="242">
        <f t="shared" si="42"/>
        <v>-47641.7383228381</v>
      </c>
      <c r="L226" s="2">
        <f t="shared" si="43"/>
        <v>-3741.3370241911339</v>
      </c>
      <c r="M226">
        <f t="shared" si="44"/>
        <v>-295.32096166361794</v>
      </c>
    </row>
    <row r="227" spans="8:13" x14ac:dyDescent="0.2">
      <c r="H227" s="280">
        <f t="shared" si="45"/>
        <v>2.4903199992618955E-7</v>
      </c>
      <c r="I227" s="114">
        <f t="shared" si="41"/>
        <v>-26.255170402856962</v>
      </c>
      <c r="J227" s="242">
        <f t="shared" si="46"/>
        <v>55450.673957134648</v>
      </c>
      <c r="K227" s="242">
        <f t="shared" si="42"/>
        <v>-55190.710785607196</v>
      </c>
      <c r="L227" s="2">
        <f t="shared" si="43"/>
        <v>-4325.1525686565028</v>
      </c>
      <c r="M227">
        <f t="shared" si="44"/>
        <v>-231.16317152745481</v>
      </c>
    </row>
    <row r="228" spans="8:13" x14ac:dyDescent="0.2">
      <c r="H228" s="280">
        <f t="shared" si="45"/>
        <v>2.6035163628647091E-7</v>
      </c>
      <c r="I228" s="114">
        <f t="shared" si="41"/>
        <v>-18.038121234872698</v>
      </c>
      <c r="J228" s="242">
        <f t="shared" si="46"/>
        <v>60970.576107651745</v>
      </c>
      <c r="K228" s="242">
        <f t="shared" si="42"/>
        <v>-60782.959796461619</v>
      </c>
      <c r="L228" s="2">
        <f t="shared" si="43"/>
        <v>-4755.7049363968363</v>
      </c>
      <c r="M228">
        <f t="shared" si="44"/>
        <v>-158.81631119012545</v>
      </c>
    </row>
    <row r="229" spans="8:13" x14ac:dyDescent="0.2">
      <c r="H229" s="280">
        <f t="shared" si="45"/>
        <v>2.7167127264675228E-7</v>
      </c>
      <c r="I229" s="114">
        <f t="shared" si="41"/>
        <v>-9.1820626601846147</v>
      </c>
      <c r="J229" s="242">
        <f t="shared" si="46"/>
        <v>64330.190883162708</v>
      </c>
      <c r="K229" s="242">
        <f t="shared" si="42"/>
        <v>-64220.547579039223</v>
      </c>
      <c r="L229" s="2">
        <f t="shared" si="43"/>
        <v>-5017.7548888866913</v>
      </c>
      <c r="M229">
        <f t="shared" si="44"/>
        <v>-80.84330412348524</v>
      </c>
    </row>
    <row r="230" spans="8:13" x14ac:dyDescent="0.2">
      <c r="H230" s="280">
        <f t="shared" si="45"/>
        <v>2.8299090900703364E-7</v>
      </c>
      <c r="I230" s="114">
        <f t="shared" si="41"/>
        <v>-7.2495379531528951E-4</v>
      </c>
      <c r="J230" s="242">
        <f t="shared" si="46"/>
        <v>65410.685933824119</v>
      </c>
      <c r="K230" s="242">
        <f t="shared" si="42"/>
        <v>-65381.879550981583</v>
      </c>
      <c r="L230" s="2">
        <f t="shared" si="43"/>
        <v>-5102.0335028382815</v>
      </c>
      <c r="M230">
        <f t="shared" si="44"/>
        <v>-6.3828425397578865E-3</v>
      </c>
    </row>
    <row r="231" spans="8:13" x14ac:dyDescent="0.2">
      <c r="H231" s="280">
        <f t="shared" si="45"/>
        <v>2.94310545367315E-7</v>
      </c>
      <c r="I231" s="114">
        <f t="shared" si="41"/>
        <v>9.1806384344424075</v>
      </c>
      <c r="J231" s="242">
        <f t="shared" si="46"/>
        <v>64173.974600345216</v>
      </c>
      <c r="K231" s="242">
        <f t="shared" si="42"/>
        <v>-64226.005364898992</v>
      </c>
      <c r="L231" s="2">
        <f t="shared" si="43"/>
        <v>-5005.5700188269266</v>
      </c>
      <c r="M231">
        <f t="shared" si="44"/>
        <v>80.830764553774287</v>
      </c>
    </row>
    <row r="232" spans="8:13" x14ac:dyDescent="0.2">
      <c r="H232" s="280">
        <f t="shared" si="45"/>
        <v>3.0563018172759636E-7</v>
      </c>
      <c r="I232" s="114">
        <f t="shared" si="41"/>
        <v>18.036773144883352</v>
      </c>
      <c r="J232" s="242">
        <f t="shared" si="46"/>
        <v>60664.058407000732</v>
      </c>
      <c r="K232" s="242">
        <f t="shared" si="42"/>
        <v>-60794.062848957001</v>
      </c>
      <c r="L232" s="2">
        <f t="shared" si="43"/>
        <v>-4731.7965557460575</v>
      </c>
      <c r="M232">
        <f t="shared" si="44"/>
        <v>158.80444195626939</v>
      </c>
    </row>
    <row r="233" spans="8:13" x14ac:dyDescent="0.2">
      <c r="H233" s="280">
        <f t="shared" si="45"/>
        <v>3.1694981808787773E-7</v>
      </c>
      <c r="I233" s="114">
        <f t="shared" si="41"/>
        <v>26.253946205378174</v>
      </c>
      <c r="J233" s="242">
        <f t="shared" si="46"/>
        <v>55005.461540652846</v>
      </c>
      <c r="K233" s="242">
        <f t="shared" si="42"/>
        <v>-55207.81393375581</v>
      </c>
      <c r="L233" s="2">
        <f t="shared" si="43"/>
        <v>-4290.4260001709217</v>
      </c>
      <c r="M233">
        <f t="shared" si="44"/>
        <v>231.1523931029605</v>
      </c>
    </row>
    <row r="234" spans="8:13" x14ac:dyDescent="0.2">
      <c r="H234" s="280">
        <f t="shared" si="45"/>
        <v>3.2826945444815909E-7</v>
      </c>
      <c r="I234" s="114">
        <f t="shared" si="41"/>
        <v>33.541060177684962</v>
      </c>
      <c r="J234" s="242">
        <f t="shared" si="46"/>
        <v>47398.813014079671</v>
      </c>
      <c r="K234" s="242">
        <f t="shared" si="42"/>
        <v>-47665.324669959198</v>
      </c>
      <c r="L234" s="2">
        <f t="shared" si="43"/>
        <v>-3697.1074150982145</v>
      </c>
      <c r="M234">
        <f t="shared" si="44"/>
        <v>295.31165587952836</v>
      </c>
    </row>
    <row r="235" spans="8:13" x14ac:dyDescent="0.2">
      <c r="H235" s="280">
        <f t="shared" si="45"/>
        <v>3.3958909080844045E-7</v>
      </c>
      <c r="I235" s="114">
        <f t="shared" si="41"/>
        <v>39.639965428846082</v>
      </c>
      <c r="J235" s="242">
        <f t="shared" si="46"/>
        <v>38113.733248100289</v>
      </c>
      <c r="K235" s="242">
        <f t="shared" si="42"/>
        <v>-38433.942604625874</v>
      </c>
      <c r="L235" s="2">
        <f t="shared" si="43"/>
        <v>-2972.8711933518225</v>
      </c>
      <c r="M235">
        <f t="shared" si="44"/>
        <v>349.00935652558627</v>
      </c>
    </row>
    <row r="236" spans="8:13" x14ac:dyDescent="0.2">
      <c r="H236" s="280">
        <f t="shared" si="45"/>
        <v>3.5090872716872181E-7</v>
      </c>
      <c r="I236" s="114">
        <f t="shared" si="41"/>
        <v>44.334605210193516</v>
      </c>
      <c r="J236" s="242">
        <f t="shared" si="46"/>
        <v>27479.27728261795</v>
      </c>
      <c r="K236" s="242">
        <f t="shared" si="42"/>
        <v>-27840.820509934834</v>
      </c>
      <c r="L236" s="2">
        <f t="shared" si="43"/>
        <v>-2143.3836280442001</v>
      </c>
      <c r="M236">
        <f t="shared" si="44"/>
        <v>390.34322731688536</v>
      </c>
    </row>
    <row r="237" spans="8:13" x14ac:dyDescent="0.2">
      <c r="H237" s="280">
        <f t="shared" si="45"/>
        <v>3.6222836352900318E-7</v>
      </c>
      <c r="I237" s="114">
        <f t="shared" ref="I237:I254" si="47">(E$192/(2*J$200*E$194))*EXP(-H$205*J$192)*SIN(J$200*H237)+(E$70/E$194)*I$87*EXP(-H$205*J$192)*COS(J$200*H237)</f>
        <v>47.458669575014667</v>
      </c>
      <c r="J237" s="242">
        <f t="shared" si="46"/>
        <v>15872.273360097304</v>
      </c>
      <c r="K237" s="242">
        <f t="shared" ref="K237:K254" si="48">E$192*(1-EXP(-J$192*H237)*(COS(J$200*H237)+(J$192/J$200)*SIN(H237*J$200)))+B$198*SQRT(E$194/E$195)*EXP(-H237*J$192)*SIN(J$200*H237)</f>
        <v>-16261.32235544186</v>
      </c>
      <c r="L237" s="2">
        <f t="shared" ref="L237:L254" si="49">-0.001*$B$20*J237</f>
        <v>-1238.0373220875897</v>
      </c>
      <c r="M237">
        <f t="shared" ref="M237:M254" si="50">I237*E$193</f>
        <v>417.8489953445565</v>
      </c>
    </row>
    <row r="238" spans="8:13" x14ac:dyDescent="0.2">
      <c r="H238" s="280">
        <f t="shared" ref="H238:H254" si="51">H237+$B$199</f>
        <v>3.7354799988928454E-7</v>
      </c>
      <c r="I238" s="114">
        <f t="shared" si="47"/>
        <v>48.901486991043221</v>
      </c>
      <c r="J238" s="242">
        <f t="shared" ref="J238:J254" si="52">E$192-I238*E$193-K238</f>
        <v>3703.9701515148722</v>
      </c>
      <c r="K238" s="242">
        <f t="shared" si="48"/>
        <v>-4105.7224066252811</v>
      </c>
      <c r="L238" s="2">
        <f t="shared" si="49"/>
        <v>-288.90967181816001</v>
      </c>
      <c r="M238">
        <f t="shared" si="50"/>
        <v>430.55225511040874</v>
      </c>
    </row>
    <row r="239" spans="8:13" x14ac:dyDescent="0.2">
      <c r="H239" s="280">
        <f t="shared" si="51"/>
        <v>3.848676362495659E-7</v>
      </c>
      <c r="I239" s="114">
        <f t="shared" si="47"/>
        <v>48.611944934475112</v>
      </c>
      <c r="J239" s="242">
        <f t="shared" si="52"/>
        <v>-8594.5342245655229</v>
      </c>
      <c r="K239" s="242">
        <f t="shared" si="48"/>
        <v>8195.3312372397013</v>
      </c>
      <c r="L239" s="2">
        <f t="shared" si="49"/>
        <v>670.37366951611079</v>
      </c>
      <c r="M239">
        <f t="shared" si="50"/>
        <v>428.00298732582098</v>
      </c>
    </row>
    <row r="240" spans="8:13" x14ac:dyDescent="0.2">
      <c r="H240" s="280">
        <f t="shared" si="51"/>
        <v>3.9618727260984726E-7</v>
      </c>
      <c r="I240" s="114">
        <f t="shared" si="47"/>
        <v>46.600300576518713</v>
      </c>
      <c r="J240" s="242">
        <f t="shared" si="52"/>
        <v>-20587.565124440731</v>
      </c>
      <c r="K240" s="242">
        <f t="shared" si="48"/>
        <v>20206.073623372104</v>
      </c>
      <c r="L240" s="2">
        <f t="shared" si="49"/>
        <v>1605.8300797063771</v>
      </c>
      <c r="M240">
        <f t="shared" si="50"/>
        <v>410.29150106862602</v>
      </c>
    </row>
    <row r="241" spans="8:13" x14ac:dyDescent="0.2">
      <c r="H241" s="280">
        <f t="shared" si="51"/>
        <v>4.0750690897012863E-7</v>
      </c>
      <c r="I241" s="114">
        <f t="shared" si="47"/>
        <v>42.937817418008649</v>
      </c>
      <c r="J241" s="242">
        <f t="shared" si="52"/>
        <v>-31850.305155020098</v>
      </c>
      <c r="K241" s="242">
        <f t="shared" si="48"/>
        <v>31501.059920480937</v>
      </c>
      <c r="L241" s="2">
        <f t="shared" si="49"/>
        <v>2484.3238020915678</v>
      </c>
      <c r="M241">
        <f t="shared" si="50"/>
        <v>378.04523453915994</v>
      </c>
    </row>
    <row r="242" spans="8:13" x14ac:dyDescent="0.2">
      <c r="H242" s="280">
        <f t="shared" si="51"/>
        <v>4.1882654533040999E-7</v>
      </c>
      <c r="I242" s="114">
        <f t="shared" si="47"/>
        <v>37.754240744482587</v>
      </c>
      <c r="J242" s="242">
        <f t="shared" si="52"/>
        <v>-41983.84206142585</v>
      </c>
      <c r="K242" s="242">
        <f t="shared" si="48"/>
        <v>41680.235533675572</v>
      </c>
      <c r="L242" s="2">
        <f t="shared" si="49"/>
        <v>3274.7396807912164</v>
      </c>
      <c r="M242">
        <f t="shared" si="50"/>
        <v>332.40652775028184</v>
      </c>
    </row>
    <row r="243" spans="8:13" x14ac:dyDescent="0.2">
      <c r="H243" s="280">
        <f t="shared" si="51"/>
        <v>4.3014618169069135E-7</v>
      </c>
      <c r="I243" s="114">
        <f t="shared" si="47"/>
        <v>31.233201334979256</v>
      </c>
      <c r="J243" s="242">
        <f t="shared" si="52"/>
        <v>-50629.297700066847</v>
      </c>
      <c r="K243" s="242">
        <f t="shared" si="48"/>
        <v>50383.105545501981</v>
      </c>
      <c r="L243" s="2">
        <f t="shared" si="49"/>
        <v>3949.0852206052141</v>
      </c>
      <c r="M243">
        <f t="shared" si="50"/>
        <v>274.9921545648661</v>
      </c>
    </row>
    <row r="244" spans="8:13" x14ac:dyDescent="0.2">
      <c r="H244" s="280">
        <f t="shared" si="51"/>
        <v>4.4146581805097271E-7</v>
      </c>
      <c r="I244" s="114">
        <f t="shared" si="47"/>
        <v>23.60571025045671</v>
      </c>
      <c r="J244" s="242">
        <f t="shared" si="52"/>
        <v>-57480.537666748336</v>
      </c>
      <c r="K244" s="242">
        <f t="shared" si="48"/>
        <v>57301.501619069895</v>
      </c>
      <c r="L244" s="2">
        <f t="shared" si="49"/>
        <v>4483.48193800637</v>
      </c>
      <c r="M244">
        <f t="shared" si="50"/>
        <v>207.83604767843909</v>
      </c>
    </row>
    <row r="245" spans="8:13" x14ac:dyDescent="0.2">
      <c r="H245" s="280">
        <f t="shared" si="51"/>
        <v>4.5278545441125408E-7</v>
      </c>
      <c r="I245" s="114">
        <f t="shared" si="47"/>
        <v>15.141975152183765</v>
      </c>
      <c r="J245" s="242">
        <f t="shared" si="52"/>
        <v>-62295.01146992873</v>
      </c>
      <c r="K245" s="242">
        <f t="shared" si="48"/>
        <v>62190.494224385817</v>
      </c>
      <c r="L245" s="2">
        <f t="shared" si="49"/>
        <v>4859.0108946544406</v>
      </c>
      <c r="M245">
        <f t="shared" si="50"/>
        <v>133.31724554291341</v>
      </c>
    </row>
    <row r="246" spans="8:13" x14ac:dyDescent="0.2">
      <c r="H246" s="280">
        <f t="shared" si="51"/>
        <v>4.6410509077153544E-7</v>
      </c>
      <c r="I246" s="114">
        <f t="shared" si="47"/>
        <v>6.1418280610912266</v>
      </c>
      <c r="J246" s="242">
        <f t="shared" si="52"/>
        <v>-64902.339400367389</v>
      </c>
      <c r="K246" s="242">
        <f t="shared" si="48"/>
        <v>64877.063786619947</v>
      </c>
      <c r="L246" s="2">
        <f t="shared" si="49"/>
        <v>5062.3824732286566</v>
      </c>
      <c r="M246">
        <f t="shared" si="50"/>
        <v>54.075613747442084</v>
      </c>
    </row>
    <row r="247" spans="8:13" x14ac:dyDescent="0.2">
      <c r="H247" s="280">
        <f t="shared" si="51"/>
        <v>4.754247271318168E-7</v>
      </c>
      <c r="I247" s="114">
        <f t="shared" si="47"/>
        <v>-3.0758963405366795</v>
      </c>
      <c r="J247" s="242">
        <f t="shared" si="52"/>
        <v>-65210.342101553106</v>
      </c>
      <c r="K247" s="242">
        <f t="shared" si="48"/>
        <v>65266.223775084763</v>
      </c>
      <c r="L247" s="2">
        <f t="shared" si="49"/>
        <v>5086.4066839211418</v>
      </c>
      <c r="M247">
        <f t="shared" si="50"/>
        <v>-27.081673531655298</v>
      </c>
    </row>
    <row r="248" spans="8:13" x14ac:dyDescent="0.2">
      <c r="H248" s="280">
        <f t="shared" si="51"/>
        <v>4.8674436349209811E-7</v>
      </c>
      <c r="I248" s="114">
        <f t="shared" si="47"/>
        <v>-12.184655586090086</v>
      </c>
      <c r="J248" s="242">
        <f t="shared" si="52"/>
        <v>-63208.299460610942</v>
      </c>
      <c r="K248" s="242">
        <f t="shared" si="48"/>
        <v>63344.379039681728</v>
      </c>
      <c r="L248" s="2">
        <f t="shared" si="49"/>
        <v>4930.2473579276539</v>
      </c>
      <c r="M248">
        <f t="shared" si="50"/>
        <v>-107.27957907078788</v>
      </c>
    </row>
    <row r="249" spans="8:13" x14ac:dyDescent="0.2">
      <c r="H249" s="280">
        <f t="shared" si="51"/>
        <v>4.9806399985237942E-7</v>
      </c>
      <c r="I249" s="114">
        <f t="shared" si="47"/>
        <v>-20.861767353750661</v>
      </c>
      <c r="J249" s="242">
        <f t="shared" si="52"/>
        <v>-58967.323605994236</v>
      </c>
      <c r="K249" s="242">
        <f t="shared" si="48"/>
        <v>59179.80065821539</v>
      </c>
      <c r="L249" s="2">
        <f t="shared" si="49"/>
        <v>4599.4512412675504</v>
      </c>
      <c r="M249">
        <f t="shared" si="50"/>
        <v>-183.67705222115652</v>
      </c>
    </row>
    <row r="250" spans="8:13" x14ac:dyDescent="0.2">
      <c r="H250" s="280">
        <f t="shared" si="51"/>
        <v>5.0938363621266073E-7</v>
      </c>
      <c r="I250" s="114">
        <f t="shared" si="47"/>
        <v>-28.79984064806181</v>
      </c>
      <c r="J250" s="242">
        <f t="shared" si="52"/>
        <v>-52637.833038082645</v>
      </c>
      <c r="K250" s="242">
        <f t="shared" si="48"/>
        <v>52920.200712622165</v>
      </c>
      <c r="L250" s="2">
        <f t="shared" si="49"/>
        <v>4105.7509769704466</v>
      </c>
      <c r="M250">
        <f t="shared" si="50"/>
        <v>-253.5676745395202</v>
      </c>
    </row>
    <row r="251" spans="8:13" x14ac:dyDescent="0.2">
      <c r="H251" s="280">
        <f t="shared" si="51"/>
        <v>5.2070327257294204E-7</v>
      </c>
      <c r="I251" s="114">
        <f t="shared" si="47"/>
        <v>-35.71766527866501</v>
      </c>
      <c r="J251" s="242">
        <f t="shared" si="52"/>
        <v>-44444.217609736137</v>
      </c>
      <c r="K251" s="242">
        <f t="shared" si="48"/>
        <v>44787.493145742323</v>
      </c>
      <c r="L251" s="2">
        <f t="shared" si="49"/>
        <v>3466.6489735594187</v>
      </c>
      <c r="M251">
        <f t="shared" si="50"/>
        <v>-314.47553600618841</v>
      </c>
    </row>
    <row r="252" spans="8:13" x14ac:dyDescent="0.2">
      <c r="H252" s="280">
        <f t="shared" si="51"/>
        <v>5.3202290893322335E-7</v>
      </c>
      <c r="I252" s="114">
        <f t="shared" si="47"/>
        <v>-41.370173871008205</v>
      </c>
      <c r="J252" s="242">
        <f t="shared" si="52"/>
        <v>-34676.883578120338</v>
      </c>
      <c r="K252" s="242">
        <f t="shared" si="48"/>
        <v>35069.926523487928</v>
      </c>
      <c r="L252" s="2">
        <f t="shared" si="49"/>
        <v>2704.7969190933864</v>
      </c>
      <c r="M252">
        <f t="shared" si="50"/>
        <v>-364.24294536758634</v>
      </c>
    </row>
    <row r="253" spans="8:13" x14ac:dyDescent="0.2">
      <c r="H253" s="280">
        <f t="shared" si="51"/>
        <v>5.4334254529350466E-7</v>
      </c>
      <c r="I253" s="114">
        <f t="shared" si="47"/>
        <v>-45.557123499847066</v>
      </c>
      <c r="J253" s="242">
        <f t="shared" si="52"/>
        <v>-23681.960742136034</v>
      </c>
      <c r="K253" s="242">
        <f t="shared" si="48"/>
        <v>24111.867609556961</v>
      </c>
      <c r="L253" s="2">
        <f t="shared" si="49"/>
        <v>1847.1929378866107</v>
      </c>
      <c r="M253">
        <f t="shared" si="50"/>
        <v>-401.10686742092685</v>
      </c>
    </row>
    <row r="254" spans="8:13" x14ac:dyDescent="0.2">
      <c r="H254" s="280">
        <f t="shared" si="51"/>
        <v>5.5466218165378597E-7</v>
      </c>
      <c r="I254" s="114">
        <f t="shared" si="47"/>
        <v>-48.130189394359597</v>
      </c>
      <c r="J254" s="242">
        <f t="shared" si="52"/>
        <v>-11849.03647499428</v>
      </c>
      <c r="K254" s="242">
        <f t="shared" si="48"/>
        <v>12301.597854406487</v>
      </c>
      <c r="L254" s="2">
        <f t="shared" si="49"/>
        <v>924.22484504955389</v>
      </c>
      <c r="M254">
        <f t="shared" si="50"/>
        <v>-423.76137941220765</v>
      </c>
    </row>
  </sheetData>
  <phoneticPr fontId="0" type="noConversion"/>
  <pageMargins left="0.78740157499999996" right="0.78740157499999996" top="0.984251969" bottom="0.984251969" header="0.5" footer="0.5"/>
  <pageSetup paperSize="9" scale="77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11</vt:i4>
      </vt:variant>
    </vt:vector>
  </HeadingPairs>
  <TitlesOfParts>
    <vt:vector size="32" baseType="lpstr">
      <vt:lpstr>Intro</vt:lpstr>
      <vt:lpstr>SketchSk</vt:lpstr>
      <vt:lpstr>Codd Sk</vt:lpstr>
      <vt:lpstr>Pie Sk</vt:lpstr>
      <vt:lpstr>SimSk</vt:lpstr>
      <vt:lpstr>T-Sk</vt:lpstr>
      <vt:lpstr>Codd26k252</vt:lpstr>
      <vt:lpstr>Pie26k</vt:lpstr>
      <vt:lpstr>Sim26k</vt:lpstr>
      <vt:lpstr>25kSec (layer)</vt:lpstr>
      <vt:lpstr>Codd48k492</vt:lpstr>
      <vt:lpstr>Pie48k</vt:lpstr>
      <vt:lpstr>Sim48k</vt:lpstr>
      <vt:lpstr>Kosten</vt:lpstr>
      <vt:lpstr>Core</vt:lpstr>
      <vt:lpstr>Prim</vt:lpstr>
      <vt:lpstr>Codd Ex</vt:lpstr>
      <vt:lpstr>Codd Phywe</vt:lpstr>
      <vt:lpstr>DenseWdg</vt:lpstr>
      <vt:lpstr>Fig.71</vt:lpstr>
      <vt:lpstr>Fig.165</vt:lpstr>
      <vt:lpstr>'Codd Sk'!Druckbereich</vt:lpstr>
      <vt:lpstr>Codd26k252!Druckbereich</vt:lpstr>
      <vt:lpstr>Codd48k492!Druckbereich</vt:lpstr>
      <vt:lpstr>Core!Druckbereich</vt:lpstr>
      <vt:lpstr>DenseWdg!Druckbereich</vt:lpstr>
      <vt:lpstr>Pie26k!Druckbereich</vt:lpstr>
      <vt:lpstr>Pie48k!Druckbereich</vt:lpstr>
      <vt:lpstr>Prim!Druckbereich</vt:lpstr>
      <vt:lpstr>Sim26k!Druckbereich</vt:lpstr>
      <vt:lpstr>Sim48k!Druckbereich</vt:lpstr>
      <vt:lpstr>SimSk!Druckbereich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K</cp:lastModifiedBy>
  <cp:lastPrinted>2006-12-12T08:49:59Z</cp:lastPrinted>
  <dcterms:created xsi:type="dcterms:W3CDTF">2004-10-18T00:03:25Z</dcterms:created>
  <dcterms:modified xsi:type="dcterms:W3CDTF">2018-04-06T07:40:10Z</dcterms:modified>
</cp:coreProperties>
</file>